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4k9/1QCoie3srvS03abF5C1bwRvPEtAHRwAA7fzj9yQ/SU+VNiGSg7TvAnfyYTCLSimpvOZ9s2BXWpNm8wIuLw==" workbookSaltValue="tsnKXZLzcEAi1lMFX2w2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AL10" i="11"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AT18" i="17"/>
  <c r="N10" i="11"/>
  <c r="N9" i="11"/>
  <c r="T10" i="21"/>
  <c r="AO16" i="11"/>
  <c r="F10" i="10"/>
  <c r="N11" i="11"/>
  <c r="ES19" i="8"/>
  <c r="C18" i="7"/>
  <c r="S19" i="13"/>
  <c r="AG19" i="19"/>
  <c r="F9" i="11"/>
  <c r="CI19" i="8"/>
  <c r="AE19" i="8"/>
  <c r="F17" i="16"/>
  <c r="BL17" i="16" s="1"/>
  <c r="EP19" i="8"/>
  <c r="ER19" i="13"/>
  <c r="AL13" i="16"/>
  <c r="BH11" i="16"/>
  <c r="BH17" i="16"/>
  <c r="BM16" i="11"/>
  <c r="BL17" i="11"/>
  <c r="BF10" i="11"/>
  <c r="R12" i="14"/>
  <c r="S13" i="16"/>
  <c r="V12" i="21"/>
  <c r="H18" i="16"/>
  <c r="P13" i="16"/>
  <c r="AN13" i="20"/>
  <c r="F15" i="17"/>
  <c r="Z13" i="17"/>
  <c r="F17" i="17"/>
  <c r="AQ17" i="17" s="1"/>
  <c r="AO17" i="11"/>
  <c r="M13" i="2"/>
  <c r="C17" i="6"/>
  <c r="AO12" i="11"/>
  <c r="L12" i="14"/>
  <c r="B12" i="6"/>
  <c r="AC10" i="11"/>
  <c r="T19" i="8"/>
  <c r="T13" i="12"/>
  <c r="BK11" i="11"/>
  <c r="AP10" i="21"/>
  <c r="BH9" i="11"/>
  <c r="BJ12" i="11"/>
  <c r="BG15" i="11"/>
  <c r="BK17" i="11"/>
  <c r="AP17" i="20"/>
  <c r="BU11" i="17"/>
  <c r="BU10" i="17"/>
  <c r="BW12" i="20"/>
  <c r="BW11" i="20"/>
  <c r="BW10" i="20"/>
  <c r="BU12" i="17"/>
  <c r="AA15" i="16"/>
  <c r="S11" i="14"/>
  <c r="V11" i="14" s="1"/>
  <c r="BG12" i="11"/>
  <c r="BH10" i="11"/>
  <c r="AQ10" i="21"/>
  <c r="BK16" i="11"/>
  <c r="BG16" i="11"/>
  <c r="BM9" i="11"/>
  <c r="BK10" i="11"/>
  <c r="AZ18" i="13"/>
  <c r="AY13" i="8"/>
  <c r="AV18" i="17"/>
  <c r="J18" i="17"/>
  <c r="U9" i="17"/>
  <c r="U19" i="17" s="1"/>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Y18" i="8" l="1"/>
  <c r="B18" i="2"/>
  <c r="BG15" i="8"/>
  <c r="AJ19" i="8"/>
  <c r="AW18" i="21"/>
  <c r="F11" i="11"/>
  <c r="AQ11" i="11" s="1"/>
  <c r="H13" i="12"/>
  <c r="AO9" i="11"/>
  <c r="BE9" i="8"/>
  <c r="I9" i="7" s="1"/>
  <c r="H12" i="7"/>
  <c r="C11" i="6"/>
  <c r="B17" i="6"/>
  <c r="B16" i="6"/>
  <c r="F9" i="2"/>
  <c r="AO16" i="17"/>
  <c r="E15" i="6"/>
  <c r="K15" i="12" s="1"/>
  <c r="H12" i="2"/>
  <c r="M18" i="2"/>
  <c r="M19" i="2" s="1"/>
  <c r="N18" i="2"/>
  <c r="AL11" i="11"/>
  <c r="B9" i="6"/>
  <c r="E11" i="6"/>
  <c r="C10" i="6"/>
  <c r="BD15" i="8"/>
  <c r="H15" i="7" s="1"/>
  <c r="BE15" i="8"/>
  <c r="BG16" i="8"/>
  <c r="E18" i="2"/>
  <c r="AL15" i="11"/>
  <c r="L16" i="14"/>
  <c r="F15" i="11"/>
  <c r="AQ15" i="11" s="1"/>
  <c r="F16" i="17"/>
  <c r="E9" i="6"/>
  <c r="BA13" i="8"/>
  <c r="BF9" i="13"/>
  <c r="D11" i="12"/>
  <c r="D12" i="12"/>
  <c r="BF11" i="8"/>
  <c r="J11" i="7" s="1"/>
  <c r="BF9" i="8"/>
  <c r="BG9" i="8"/>
  <c r="K9" i="7" s="1"/>
  <c r="BD11" i="8"/>
  <c r="BE11" i="8"/>
  <c r="I11" i="12"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T9" i="11"/>
  <c r="L12" i="2"/>
  <c r="X12" i="17"/>
  <c r="BH12" i="16"/>
  <c r="S17" i="17"/>
  <c r="BH11" i="11"/>
  <c r="BJ10" i="11"/>
  <c r="BI9" i="11"/>
  <c r="Q17" i="17"/>
  <c r="T16" i="11"/>
  <c r="X15" i="17"/>
  <c r="AA16" i="16"/>
  <c r="S11" i="17"/>
  <c r="U10" i="17"/>
  <c r="BV11" i="16"/>
  <c r="BV12" i="16"/>
  <c r="BV17" i="16"/>
  <c r="AZ15" i="11"/>
  <c r="AZ18" i="11" s="1"/>
  <c r="AZ9" i="11"/>
  <c r="AZ13" i="11" s="1"/>
  <c r="R17" i="20"/>
  <c r="R18" i="20" s="1"/>
  <c r="AP15" i="20"/>
  <c r="BJ15" i="11"/>
  <c r="V9" i="11"/>
  <c r="BM12" i="11"/>
  <c r="X9" i="17"/>
  <c r="AO12" i="17"/>
  <c r="BK9" i="11"/>
  <c r="BK12" i="11"/>
  <c r="P17" i="17"/>
  <c r="BG10" i="11"/>
  <c r="BL9" i="11"/>
  <c r="BF11" i="1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V10" i="21"/>
  <c r="V13" i="21" s="1"/>
  <c r="V19" i="21" s="1"/>
  <c r="S10" i="14"/>
  <c r="V10" i="14" s="1"/>
  <c r="S17" i="14"/>
  <c r="V17" i="14" s="1"/>
  <c r="R11" i="14"/>
  <c r="R17" i="14"/>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H9" i="7"/>
  <c r="K15" i="7"/>
  <c r="I18" i="2"/>
  <c r="G18" i="2"/>
  <c r="L17" i="14"/>
  <c r="H11" i="7"/>
  <c r="B11" i="6"/>
  <c r="AL9" i="11"/>
  <c r="AO15" i="17"/>
  <c r="AO9" i="17"/>
  <c r="I15" i="7"/>
  <c r="AO15" i="11"/>
  <c r="C16" i="6"/>
  <c r="BI16" i="16"/>
  <c r="H17" i="7"/>
  <c r="AN11" i="11"/>
  <c r="D9" i="6"/>
  <c r="J9" i="12" s="1"/>
  <c r="C9" i="6"/>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P9" i="11"/>
  <c r="Q10" i="11"/>
  <c r="AQ19" i="20"/>
  <c r="D11" i="6"/>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9" i="7" l="1"/>
  <c r="I17" i="12"/>
  <c r="B19" i="7"/>
  <c r="I15" i="12"/>
  <c r="H21" i="12"/>
  <c r="I10" i="12"/>
  <c r="BF13" i="8"/>
  <c r="BE13" i="8"/>
  <c r="D19" i="12"/>
  <c r="I9" i="12"/>
  <c r="K9" i="12"/>
  <c r="H13" i="2"/>
  <c r="C18" i="6"/>
  <c r="AL18" i="11"/>
  <c r="AS16" i="20"/>
  <c r="G21" i="11"/>
  <c r="Y13" i="11"/>
  <c r="J18" i="2"/>
  <c r="B18" i="6"/>
  <c r="I11" i="7"/>
  <c r="J11" i="12"/>
  <c r="AM13" i="11"/>
  <c r="V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<sst xmlns="http://schemas.openxmlformats.org/spreadsheetml/2006/main" count="2088" uniqueCount="917">
  <si>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</si>
  <si>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</si>
  <si>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</si>
  <si>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</si>
  <si>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</si>
  <si>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</si>
  <si>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</si>
  <si>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</si>
  <si>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</si>
  <si>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</si>
  <si>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</si>
  <si>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</si>
  <si>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</si>
  <si>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</si>
  <si>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</si>
  <si>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</si>
  <si>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</si>
  <si>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</si>
  <si>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</si>
  <si>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</si>
  <si>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</si>
  <si>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</si>
  <si>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</si>
  <si>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</si>
  <si>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</si>
  <si>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</si>
  <si>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</si>
  <si>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</si>
  <si>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</si>
  <si>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</si>
  <si>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</si>
  <si>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</si>
  <si>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</si>
  <si>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</si>
  <si>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</si>
  <si>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</si>
  <si>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</si>
  <si>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</si>
  <si>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</si>
  <si>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</si>
  <si>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</si>
  <si>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</si>
  <si>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</si>
  <si>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</si>
  <si>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</si>
  <si>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</si>
  <si>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</si>
  <si>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</si>
  <si>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</si>
  <si>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</si>
  <si>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</si>
  <si>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</si>
  <si>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</si>
  <si>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</si>
  <si>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</si>
  <si>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</si>
  <si>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</si>
  <si>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</si>
  <si>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</si>
  <si>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</si>
  <si>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</si>
  <si>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</si>
  <si>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</si>
  <si>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</si>
  <si>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</si>
  <si>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</si>
  <si>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</si>
  <si>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</si>
  <si>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</si>
  <si>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</si>
  <si>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</si>
  <si>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</si>
  <si>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</si>
  <si>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</si>
  <si>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</si>
  <si>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</si>
  <si>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</si>
  <si>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</si>
  <si>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</si>
  <si>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</si>
  <si>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</si>
  <si>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</si>
  <si>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</si>
  <si>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</si>
  <si>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</si>
  <si>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</si>
  <si>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</si>
  <si>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</si>
  <si>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</si>
  <si>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</si>
  <si>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</si>
  <si>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</si>
  <si>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</si>
  <si>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</si>
  <si>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</si>
  <si>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</si>
  <si>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</si>
  <si>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</si>
  <si>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</si>
  <si>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</si>
  <si>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</si>
  <si>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</si>
  <si>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</si>
  <si>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</si>
  <si>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</si>
  <si>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</si>
  <si>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</si>
  <si>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</si>
  <si>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</si>
  <si>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</si>
  <si>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</si>
  <si>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</si>
  <si>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</si>
  <si>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</si>
  <si>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</si>
  <si>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</si>
  <si>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</si>
  <si>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</si>
  <si>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</si>
  <si>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</si>
  <si>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</si>
  <si>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</si>
  <si>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</si>
  <si>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</si>
  <si>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</si>
  <si>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</si>
  <si>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</si>
  <si>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</si>
  <si>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</si>
  <si>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</si>
  <si>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</si>
  <si>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</si>
  <si>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</si>
  <si>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</si>
  <si>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</si>
  <si>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</si>
  <si>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</si>
  <si>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</si>
  <si>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</si>
  <si>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</si>
  <si>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</si>
  <si>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</si>
  <si>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</si>
  <si>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</si>
  <si>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</si>
  <si>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</si>
  <si>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</si>
  <si>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</si>
  <si>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</si>
  <si>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</si>
  <si>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</si>
  <si>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</si>
  <si>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</si>
  <si>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</si>
  <si>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</si>
  <si>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</si>
  <si>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</si>
  <si>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</si>
  <si>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</si>
  <si>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</si>
  <si>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</si>
  <si>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</si>
  <si>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</si>
  <si>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</si>
  <si>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</si>
  <si>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</si>
  <si>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</si>
  <si>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</si>
  <si>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</si>
  <si>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</si>
  <si>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</si>
  <si>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</si>
  <si>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</si>
  <si>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</si>
  <si>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</si>
  <si>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</si>
  <si>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</si>
  <si>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</si>
  <si>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</si>
  <si>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</si>
  <si>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</si>
  <si>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</si>
  <si>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</si>
  <si>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</si>
  <si>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</si>
  <si>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</si>
  <si>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</si>
  <si>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</si>
  <si>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</si>
  <si>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</si>
  <si>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</si>
  <si>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</si>
  <si>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</si>
  <si>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</si>
  <si>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</si>
  <si>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</si>
  <si>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</si>
  <si>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</si>
  <si>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</si>
  <si>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</si>
  <si>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</si>
  <si>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</si>
  <si>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</si>
  <si>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</si>
  <si>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</si>
  <si>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</si>
  <si>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</si>
  <si>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</si>
  <si>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</si>
  <si>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</si>
  <si>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</si>
  <si>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</si>
  <si>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</si>
  <si>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</si>
  <si>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</si>
  <si>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</si>
  <si>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</si>
  <si>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</si>
  <si>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</si>
  <si>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</si>
  <si>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</si>
  <si>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</si>
  <si>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</si>
  <si>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</si>
  <si>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</si>
  <si>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</si>
  <si>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</si>
  <si>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</si>
  <si>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</si>
  <si>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</si>
  <si>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</si>
  <si>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</si>
  <si>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</si>
  <si>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</si>
  <si>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</si>
  <si>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</si>
  <si>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</si>
  <si>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</si>
  <si>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</si>
  <si>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</si>
  <si>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</si>
  <si>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</si>
  <si>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</si>
  <si>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</si>
  <si>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</si>
  <si>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</si>
  <si>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</si>
  <si>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</si>
  <si>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</si>
  <si>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</si>
  <si>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</si>
  <si>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</si>
  <si>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</si>
  <si>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</si>
  <si>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</si>
  <si>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</si>
  <si>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</si>
  <si>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</si>
  <si>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</si>
  <si>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</si>
  <si>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</si>
  <si>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</si>
  <si>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</si>
  <si>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</si>
  <si>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</si>
  <si>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</si>
  <si>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</si>
  <si>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</si>
  <si>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</si>
  <si>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</si>
  <si>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</si>
  <si>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</si>
  <si>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</si>
  <si>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</si>
  <si>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</si>
  <si>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</si>
  <si>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</si>
  <si>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</si>
  <si>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</si>
  <si>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</si>
  <si>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</si>
  <si>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</si>
  <si>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</si>
  <si>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</si>
  <si>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</si>
  <si>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</si>
  <si>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</si>
  <si>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</si>
  <si>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</si>
  <si>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</si>
  <si>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</si>
  <si>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</si>
  <si>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</si>
  <si>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</si>
  <si>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</si>
  <si>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</si>
  <si>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</si>
  <si>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</si>
  <si>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</si>
  <si>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</si>
  <si>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</si>
  <si>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</si>
  <si>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</si>
  <si>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</si>
  <si>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</si>
  <si>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</si>
  <si>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</si>
  <si>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</si>
  <si>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</si>
  <si>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</si>
  <si>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</si>
  <si>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</si>
  <si>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</si>
  <si>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</si>
  <si>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</si>
  <si>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</si>
  <si>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</si>
  <si>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</si>
  <si>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</si>
  <si>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</si>
  <si>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</si>
  <si>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</si>
  <si>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</si>
  <si>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</si>
  <si>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</si>
  <si>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</si>
  <si>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</si>
  <si>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</si>
  <si>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</si>
  <si>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</si>
  <si>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</si>
  <si>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</si>
  <si>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</si>
  <si>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</si>
  <si>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</si>
  <si>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</si>
  <si>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</si>
  <si>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</si>
  <si>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</si>
  <si>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</si>
  <si>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</si>
  <si>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</si>
  <si>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</si>
  <si>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</si>
  <si>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</si>
  <si>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</si>
  <si>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</si>
  <si>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</si>
  <si>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</si>
  <si>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</si>
  <si>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</si>
  <si>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</si>
  <si>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</si>
  <si>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</si>
  <si>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</si>
  <si>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</si>
  <si>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</si>
  <si>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</si>
  <si>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</si>
  <si>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</si>
  <si>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</si>
  <si>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</si>
  <si>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</si>
  <si>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</si>
  <si>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</si>
  <si>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</si>
  <si>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</si>
  <si>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</si>
  <si>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</si>
  <si>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</si>
  <si>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</si>
  <si>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</si>
  <si>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</si>
  <si>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</si>
  <si>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</si>
  <si>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</si>
  <si>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</si>
  <si>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</si>
  <si>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</si>
  <si>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</si>
  <si>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</si>
  <si>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</si>
  <si>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</si>
  <si>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</si>
  <si>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</si>
  <si>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</si>
  <si>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</si>
  <si>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</si>
  <si>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</si>
  <si>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</si>
  <si>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</si>
  <si>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</si>
  <si>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</si>
  <si>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</si>
  <si>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</si>
  <si>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</si>
  <si>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</si>
  <si>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</si>
  <si>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</si>
  <si>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</si>
  <si>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</si>
  <si>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</si>
  <si>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</si>
  <si>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</si>
  <si>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</si>
  <si>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</si>
  <si>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</si>
  <si>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</si>
  <si>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</si>
  <si>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</si>
  <si>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</si>
  <si>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</si>
  <si>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</si>
  <si>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</si>
  <si>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</si>
  <si>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</si>
  <si>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</si>
  <si>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</si>
  <si>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</si>
  <si>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</si>
  <si>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</si>
  <si>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</si>
  <si>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</si>
  <si>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</si>
  <si>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</si>
  <si>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</si>
  <si>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</si>
  <si>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</si>
  <si>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</si>
  <si>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</si>
  <si>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</si>
  <si>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</si>
  <si>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</si>
  <si>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</si>
  <si>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</si>
  <si>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</si>
  <si>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</si>
  <si>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</si>
  <si>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</si>
  <si>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</si>
  <si>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</si>
  <si>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</si>
  <si>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</si>
  <si>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</si>
  <si>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</si>
  <si>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</si>
  <si>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</si>
  <si>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</si>
  <si>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</si>
  <si>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</si>
  <si>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</si>
  <si>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</si>
  <si>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</si>
  <si>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</si>
  <si>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</si>
  <si>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</si>
  <si>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</si>
  <si>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</si>
  <si>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</si>
  <si>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</si>
  <si>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</si>
  <si>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</si>
  <si>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</si>
  <si>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</si>
  <si>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</si>
  <si>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</si>
  <si>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</si>
  <si>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</si>
  <si>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</si>
  <si>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</si>
  <si>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</si>
  <si>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</si>
  <si>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</si>
  <si>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</si>
  <si>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</si>
  <si>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</si>
  <si>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</si>
  <si>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</si>
  <si>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</si>
  <si>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</si>
  <si>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</si>
  <si>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</si>
  <si>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</si>
  <si>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</si>
  <si>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</si>
  <si>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</si>
  <si>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</si>
  <si>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</si>
  <si>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</si>
  <si>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</si>
  <si>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</si>
  <si>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</si>
  <si>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</si>
  <si>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</si>
  <si>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</si>
  <si>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</si>
  <si>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</si>
  <si>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</si>
  <si>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</si>
  <si>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</si>
  <si>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</si>
  <si>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</si>
  <si>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</si>
  <si>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</si>
  <si>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</si>
  <si>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</si>
  <si>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</si>
  <si>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</si>
  <si>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</si>
  <si>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</si>
  <si>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</si>
  <si>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</si>
  <si>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</si>
  <si>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</si>
  <si>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</si>
  <si>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</si>
  <si>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</si>
  <si>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</si>
  <si>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</si>
  <si>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</si>
  <si>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</si>
  <si>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</si>
  <si>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</si>
  <si>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</si>
  <si>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</si>
  <si>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</si>
  <si>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</si>
  <si>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</si>
  <si>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</si>
  <si>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</si>
  <si>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</si>
  <si>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</si>
  <si>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</si>
  <si>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</si>
  <si>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</si>
  <si>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</si>
  <si>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</si>
  <si>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</si>
  <si>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</si>
  <si>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</si>
  <si>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</si>
  <si>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</si>
  <si>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</si>
  <si>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</si>
  <si>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</si>
  <si>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</si>
  <si>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</si>
  <si>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</si>
  <si>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</si>
  <si>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</si>
  <si>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</si>
  <si>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</si>
  <si>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</si>
  <si>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</si>
  <si>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</si>
  <si>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</si>
  <si>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</si>
  <si>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</si>
  <si>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</si>
  <si>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</si>
  <si>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</si>
  <si>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</si>
  <si>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</si>
  <si>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</si>
  <si>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</si>
  <si>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</si>
  <si>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</si>
  <si>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</si>
  <si>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</si>
  <si>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</si>
  <si>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</si>
  <si>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</si>
  <si>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</si>
  <si>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</si>
  <si>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</si>
  <si>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</si>
  <si>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</si>
  <si>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</si>
  <si>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</si>
  <si>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</si>
  <si>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</si>
  <si>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</si>
  <si>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</si>
  <si>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</si>
  <si>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</si>
  <si>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</si>
  <si>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</si>
  <si>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</si>
  <si>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</si>
  <si>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</si>
  <si>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</si>
  <si>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</si>
  <si>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</si>
  <si>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</si>
  <si>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</si>
  <si>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</si>
  <si>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</si>
  <si>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</si>
  <si>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</si>
  <si>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</si>
  <si>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</si>
  <si>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</si>
  <si>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</si>
  <si>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</si>
  <si>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</si>
  <si>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</si>
  <si>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</si>
  <si>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</si>
  <si>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</si>
  <si>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</si>
  <si>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</si>
  <si>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</si>
  <si>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</si>
  <si>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</si>
  <si>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</si>
  <si>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</si>
  <si>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</si>
  <si>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</si>
  <si>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</si>
  <si>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</si>
  <si>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</si>
  <si>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</si>
  <si>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</si>
  <si>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</si>
  <si>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</si>
  <si>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</si>
  <si>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</si>
  <si>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</si>
  <si>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</si>
  <si>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</si>
  <si>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</si>
  <si>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</si>
  <si>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</si>
  <si>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</si>
  <si>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</si>
  <si>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</si>
  <si>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</si>
  <si>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</si>
  <si>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</si>
  <si>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</si>
  <si>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</si>
  <si>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</si>
  <si>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</si>
  <si>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</si>
  <si>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</si>
  <si>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</si>
  <si>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</si>
  <si>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</si>
  <si>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</si>
  <si>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</si>
  <si>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</si>
  <si>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</si>
  <si>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</si>
  <si>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</si>
  <si>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</si>
  <si>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</si>
  <si>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</si>
  <si>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</si>
  <si>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</si>
  <si>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</si>
  <si>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</si>
  <si>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</si>
  <si>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</si>
  <si>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</si>
  <si>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</si>
  <si>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</si>
  <si>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</si>
  <si>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</si>
  <si>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</si>
  <si>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</si>
  <si>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</si>
  <si>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</si>
  <si>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</si>
  <si>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</si>
  <si>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</si>
  <si>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</si>
  <si>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</si>
  <si>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</si>
  <si>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</si>
  <si>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</si>
  <si>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</si>
  <si>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</si>
  <si>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</si>
  <si>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</si>
  <si>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</si>
  <si>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</si>
  <si>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</si>
  <si>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</si>
  <si>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</si>
  <si>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</si>
  <si>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</si>
  <si>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</si>
  <si>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</si>
  <si>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</si>
  <si>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</si>
  <si>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</si>
  <si>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</si>
  <si>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</si>
  <si>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</si>
  <si>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</si>
  <si>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</si>
  <si>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</si>
  <si>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</si>
  <si>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</si>
  <si>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</si>
  <si>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</si>
  <si>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</si>
  <si>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</si>
  <si>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</si>
  <si>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</si>
  <si>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</si>
  <si>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</si>
  <si>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</si>
  <si>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</si>
  <si>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</si>
  <si>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</si>
  <si>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</si>
  <si>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</si>
  <si>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</si>
  <si>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</si>
  <si>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</si>
  <si>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</si>
  <si>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</si>
  <si>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</si>
  <si>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</si>
  <si>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</si>
  <si>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</si>
  <si>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</si>
  <si>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</si>
  <si>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</si>
  <si>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</si>
  <si>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</si>
  <si>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</si>
  <si>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</si>
  <si>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</si>
  <si>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</si>
  <si>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</si>
  <si>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</si>
  <si>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</si>
  <si>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</si>
  <si>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</si>
  <si>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</si>
  <si>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</si>
  <si>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</si>
  <si>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</si>
  <si>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</si>
  <si>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</si>
  <si>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</si>
  <si>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</si>
  <si>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</si>
  <si>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</si>
  <si>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</si>
  <si>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</si>
  <si>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</si>
  <si>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</si>
  <si>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</si>
  <si>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</si>
  <si>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</si>
  <si>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</si>
  <si>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</si>
  <si>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</si>
  <si>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</si>
  <si>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</si>
  <si>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</si>
  <si>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</si>
  <si>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</si>
  <si>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</si>
  <si>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</si>
  <si>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</si>
  <si>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</si>
  <si>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</si>
  <si>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</si>
  <si>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</si>
  <si>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</si>
  <si>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</si>
  <si>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</si>
  <si>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</si>
  <si>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</si>
  <si>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</si>
  <si>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</si>
  <si>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</si>
  <si>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</si>
  <si>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</si>
  <si>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</si>
  <si>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</si>
  <si>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</si>
  <si>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</si>
  <si>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</si>
  <si>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</si>
  <si>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</si>
  <si>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</si>
  <si>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</si>
  <si>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</si>
  <si>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</si>
  <si>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</si>
  <si>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</si>
  <si>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</si>
  <si>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</si>
  <si>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</si>
  <si>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</si>
  <si>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</si>
  <si>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</si>
  <si>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</si>
  <si>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</si>
  <si>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</si>
  <si>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</si>
  <si>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</si>
  <si>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</si>
  <si>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</si>
  <si>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</si>
  <si>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</si>
  <si>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</si>
  <si>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</si>
  <si>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</si>
  <si>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</si>
  <si>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</si>
  <si>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</si>
  <si>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</si>
  <si>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</si>
  <si>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</si>
  <si>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</si>
  <si>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</si>
  <si>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</si>
  <si>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</si>
  <si>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</si>
  <si>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</si>
  <si>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</si>
  <si>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</si>
  <si>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</si>
  <si>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</si>
  <si>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</si>
  <si>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</si>
  <si>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</si>
  <si>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</si>
  <si>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</si>
  <si>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</si>
  <si>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</si>
  <si>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</si>
  <si>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</si>
  <si>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</si>
  <si>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</si>
  <si>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</si>
  <si>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</si>
  <si>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</si>
  <si>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</si>
  <si>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</si>
  <si>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</si>
  <si>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</si>
  <si>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</si>
  <si>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</si>
  <si>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</si>
  <si>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</si>
  <si>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</si>
  <si>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</si>
  <si>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</si>
  <si>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</si>
  <si>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</si>
  <si>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</si>
  <si>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</si>
  <si>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</si>
  <si>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</si>
  <si>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</si>
  <si>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</si>
  <si>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</si>
  <si>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</si>
  <si>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</si>
  <si>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</si>
  <si>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</si>
  <si>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</si>
  <si>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</si>
  <si>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</si>
  <si>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</si>
  <si>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</si>
  <si>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</si>
  <si>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</si>
  <si>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</si>
  <si>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</si>
  <si>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</si>
  <si>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</si>
  <si>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</si>
  <si>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</si>
  <si>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</si>
  <si>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</si>
  <si>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</si>
  <si>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</si>
  <si>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</si>
  <si>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</si>
  <si>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</si>
  <si>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</si>
  <si>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</si>
  <si>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</si>
  <si>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</si>
  <si>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</si>
  <si>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</si>
  <si>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</si>
  <si>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</si>
  <si>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</si>
  <si>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</si>
  <si>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</si>
  <si>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</si>
  <si>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</si>
  <si>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</si>
  <si>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</si>
  <si>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</si>
  <si>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</si>
  <si>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</si>
  <si>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</si>
  <si>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</si>
  <si>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</si>
  <si>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</si>
  <si>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</si>
  <si>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</si>
  <si>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</si>
  <si>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CANTABRIA</t>
  </si>
  <si>
    <t>Provincias</t>
  </si>
  <si>
    <t>Resumenes por Partidos Judiciales</t>
  </si>
  <si>
    <t>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</si>
</sst>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9xHNZQfOlXlivbQwEH3ZB/LoiDVXmeYCP7XiHzIdg3hdDxtPpLz6xOIY1ZN4JHUlJiXt4EY+z78XijdaK92hQ==" saltValue="3EoTR0aFme3JW1zsOcRN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11</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4.0728346456692917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59</v>
      </c>
      <c r="D10" s="224">
        <f>IF(ISNUMBER(Datos!I10),Datos!I10," - ")</f>
        <v>59</v>
      </c>
      <c r="E10" s="225">
        <f>IF(ISNUMBER(Datos!J10),Datos!J10," - ")</f>
        <v>134</v>
      </c>
      <c r="F10" s="225">
        <f>IF(ISNUMBER(Datos!K10),Datos!K10," - ")</f>
        <v>150</v>
      </c>
      <c r="G10" s="1033" t="str">
        <f>IF(Datos!E10&lt;&gt;"",Datos!E10,Datos!D10)</f>
        <v>37</v>
      </c>
      <c r="H10" s="226">
        <f>IF(ISNUMBER(Datos!L10),Datos!L10," - ")</f>
        <v>43</v>
      </c>
      <c r="I10" s="1043" t="str">
        <f>IF(ISNUMBER(Datos!AS10/Datos!BM10),Datos!AS10/Datos!BM10," - ")</f>
        <v xml:space="preserve"> - </v>
      </c>
      <c r="J10" s="1044">
        <f>IF(ISNUMBER(Datos!BY10/Datos!CN10),Datos!BY10/Datos!CN10," - ")</f>
        <v>0</v>
      </c>
      <c r="K10" s="229">
        <f t="shared" ref="K10:K12" si="1">IF(ISNUMBER((E10-F10)/C10),(E10-F10)/C10," - ")</f>
        <v>-0.2711864406779661</v>
      </c>
      <c r="L10" s="1024">
        <f>IF(ISNUMBER(NºAsuntos!I10/NºAsuntos!G10),(NºAsuntos!I10/NºAsuntos!G10)*11," - ")</f>
        <v>3.1533333333333333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2.3665507918115103</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59</v>
      </c>
      <c r="D13" s="1048">
        <f>SUBTOTAL(9,D9:D12)</f>
        <v>59</v>
      </c>
      <c r="E13" s="1049">
        <f>SUBTOTAL(9,E9:E12)</f>
        <v>134</v>
      </c>
      <c r="F13" s="1050">
        <f>SUBTOTAL(9,F9:F12)</f>
        <v>150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1328</v>
      </c>
      <c r="D15" s="224">
        <f>IF(ISNUMBER(IF(D_I="SI",Datos!I15,Datos!I15+Datos!AC15)),IF(D_I="SI",Datos!I15,Datos!I15+Datos!AC15)," - ")</f>
        <v>1267</v>
      </c>
      <c r="E15" s="225">
        <f>IF(ISNUMBER(IF(D_I="SI",Datos!J15,Datos!J15+Datos!AD15)),IF(D_I="SI",Datos!J15,Datos!J15+Datos!AD15)," - ")</f>
        <v>10324</v>
      </c>
      <c r="F15" s="225">
        <f>IF(ISNUMBER(IF(D_I="SI",Datos!K15,Datos!K15+Datos!AE15)),IF(D_I="SI",Datos!K15,Datos!K15+Datos!AE15)," - ")</f>
        <v>10030</v>
      </c>
      <c r="G15" s="1033" t="str">
        <f>IF(Datos!E15&lt;&gt;"",Datos!E15,Datos!D15)</f>
        <v>03</v>
      </c>
      <c r="H15" s="226">
        <f>IF(ISNUMBER(IF(D_I="SI",Datos!L15,Datos!L15+Datos!AF15)),IF(D_I="SI",Datos!L15,Datos!L15+Datos!AF15)," - ")</f>
        <v>1622</v>
      </c>
      <c r="I15" s="1043" t="str">
        <f>IF(ISNUMBER(Datos!AS15/Datos!BM15),Datos!AS15/Datos!BM15," - ")</f>
        <v xml:space="preserve"> - </v>
      </c>
      <c r="J15" s="1044">
        <f>IF(ISNUMBER(Datos!BY15/Datos!CN15),Datos!BY15/Datos!CN15," - ")</f>
        <v>0</v>
      </c>
      <c r="K15" s="229">
        <f t="shared" ref="K15:K17" si="3">IF(ISNUMBER((E15-F15)/C15),(E15-F15)/C15," - ")</f>
        <v>0.2213855421686747</v>
      </c>
      <c r="L15" s="1024">
        <f>IF(ISNUMBER(NºAsuntos!I15/NºAsuntos!G15),(NºAsuntos!I15/NºAsuntos!G15)*11," - ")</f>
        <v>1.7788634097706879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92</v>
      </c>
      <c r="D17" s="224">
        <f>IF(ISNUMBER(IF(D_I="SI",Datos!I17,Datos!I17+Datos!AC17)),IF(D_I="SI",Datos!I17,Datos!I17+Datos!AC17)," - ")</f>
        <v>92</v>
      </c>
      <c r="E17" s="225">
        <f>IF(ISNUMBER(IF(D_I="SI",Datos!J17,Datos!J17+Datos!AD17)),IF(D_I="SI",Datos!J17,Datos!J17+Datos!AD17)," - ")</f>
        <v>1593</v>
      </c>
      <c r="F17" s="225">
        <f>IF(ISNUMBER(IF(D_I="SI",Datos!K17,Datos!K17+Datos!AE17)),IF(D_I="SI",Datos!K17,Datos!K17+Datos!AE17)," - ")</f>
        <v>1556</v>
      </c>
      <c r="G17" s="1033" t="str">
        <f>IF(Datos!E17&lt;&gt;"",Datos!E17,Datos!D17)</f>
        <v>37</v>
      </c>
      <c r="H17" s="226">
        <f>IF(ISNUMBER(IF(D_I="SI",Datos!L17,Datos!L17+Datos!AF17)),IF(D_I="SI",Datos!L17,Datos!L17+Datos!AF17)," - ")</f>
        <v>129</v>
      </c>
      <c r="I17" s="1043" t="str">
        <f>IF(ISNUMBER(Datos!AS17/Datos!BM17),Datos!AS17/Datos!BM17," - ")</f>
        <v xml:space="preserve"> - </v>
      </c>
      <c r="J17" s="1044" t="str">
        <f>IF(ISNUMBER((Datos!BY17+Datos!BZ17)/Datos!CN17),(Datos!BY17+Datos!BZ17)/Datos!CN17," - ")</f>
        <v xml:space="preserve"> - </v>
      </c>
      <c r="K17" s="229">
        <f t="shared" si="3"/>
        <v>0.40217391304347827</v>
      </c>
      <c r="L17" s="1024">
        <f>IF(ISNUMBER(NºAsuntos!I17/NºAsuntos!G17),(NºAsuntos!I17/NºAsuntos!G17)*11," - ")</f>
        <v>0.91195372750642678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1420</v>
      </c>
      <c r="D18" s="1048">
        <f>SUBTOTAL(9,D15:D17)</f>
        <v>1359</v>
      </c>
      <c r="E18" s="1049">
        <f>SUBTOTAL(9,E15:E17)</f>
        <v>11917</v>
      </c>
      <c r="F18" s="1049">
        <f>SUBTOTAL(9,F15:F17)</f>
        <v>11586</v>
      </c>
      <c r="G18" s="1051" t="str">
        <f ca="1">INDIRECT(CONCATENATE("G",ROW()-1))</f>
        <v>37</v>
      </c>
      <c r="H18" s="1052">
        <f ca="1">SUMIF(G$14:G17,G18,H$14:H17)</f>
        <v>129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1479</v>
      </c>
      <c r="D19" s="1070">
        <f>SUBTOTAL(9,D9:D18)</f>
        <v>1418</v>
      </c>
      <c r="E19" s="1071">
        <f>SUBTOTAL(9,E9:E18)</f>
        <v>12051</v>
      </c>
      <c r="F19" s="1071">
        <f>SUBTOTAL(9,F9:F18)</f>
        <v>11736</v>
      </c>
      <c r="G19" s="1072"/>
      <c r="H19" s="1073">
        <f ca="1">SUMIF(B9:B18,"TOTAL",H9:H18)</f>
        <v>129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7VFDQEVEzSe5Okg9jac5OHwCepG1ojvoMtc2v+bBCimUH7jQ0ifZzLKIQXUKFEnhSLgQVbF6wSF0ftPTi7NnA==" saltValue="aOt7RJuv6lGlyQLBiRwV3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MARTa/nlXuTBezOj6rZGD4vhu80ka6GkUN5isnLfDx15d9vlo7p9tfcE5tkcBcbSdiEHFayOiC9VY72czulug==" saltValue="32g8pMCDBatCo2mXumYX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7687</v>
      </c>
      <c r="J9" s="180">
        <v>12655</v>
      </c>
      <c r="K9" s="180">
        <v>15270</v>
      </c>
      <c r="L9" s="180">
        <v>5778</v>
      </c>
      <c r="M9" s="180">
        <v>5712</v>
      </c>
      <c r="N9" s="180">
        <v>4510</v>
      </c>
      <c r="O9" s="180">
        <v>8317</v>
      </c>
      <c r="P9" s="180">
        <v>5010</v>
      </c>
      <c r="Q9" s="180">
        <v>5560</v>
      </c>
      <c r="R9" s="180">
        <v>13008</v>
      </c>
      <c r="S9" s="180">
        <v>8905</v>
      </c>
      <c r="T9" s="180">
        <v>18895</v>
      </c>
      <c r="U9" s="180">
        <v>20262</v>
      </c>
      <c r="V9" s="180">
        <v>7687</v>
      </c>
      <c r="W9" s="180">
        <v>7018</v>
      </c>
      <c r="X9" s="187">
        <v>6570</v>
      </c>
      <c r="Y9" s="190">
        <v>203</v>
      </c>
      <c r="Z9" s="180">
        <v>1719</v>
      </c>
      <c r="AA9" s="180">
        <v>1494</v>
      </c>
      <c r="AB9" s="180">
        <v>429</v>
      </c>
      <c r="AC9" s="180">
        <v>0</v>
      </c>
      <c r="AD9" s="180">
        <v>0</v>
      </c>
      <c r="AE9" s="180">
        <v>0</v>
      </c>
      <c r="AF9" s="187">
        <v>0</v>
      </c>
      <c r="AG9" s="190">
        <v>381</v>
      </c>
      <c r="AH9" s="180">
        <v>1387</v>
      </c>
      <c r="AI9" s="180">
        <v>1570</v>
      </c>
      <c r="AJ9" s="191">
        <v>203</v>
      </c>
      <c r="AK9" s="179">
        <v>0</v>
      </c>
      <c r="AL9" s="180">
        <v>0</v>
      </c>
      <c r="AM9" s="180">
        <v>0</v>
      </c>
      <c r="AN9" s="187">
        <v>0</v>
      </c>
      <c r="AO9" s="257">
        <v>11</v>
      </c>
      <c r="AP9" s="153">
        <v>11</v>
      </c>
      <c r="AQ9" s="153">
        <v>11</v>
      </c>
      <c r="AR9" s="192">
        <v>11</v>
      </c>
      <c r="AS9" s="337" t="s">
        <v>791</v>
      </c>
      <c r="AT9" s="194"/>
      <c r="AU9" s="193"/>
      <c r="AV9" s="194"/>
      <c r="AW9" s="193"/>
      <c r="AX9" s="194"/>
      <c r="AY9" s="123">
        <f>IF(ISNUMBER(IF(J_V="SI",S9,S9+AG9)),IF(J_V="SI",S9,S9+AG9)," - ")</f>
        <v>9286</v>
      </c>
      <c r="AZ9" s="123">
        <f>IF(ISNUMBER(IF(J_V="SI",T9,T9+AH9)),IF(J_V="SI",T9,T9+AH9)," - ")</f>
        <v>20282</v>
      </c>
      <c r="BA9" s="124">
        <f>IF(ISNUMBER(IF(J_V="SI",U9,U9+AI9)),IF(J_V="SI",U9,U9+AI9)," - ")</f>
        <v>21832</v>
      </c>
      <c r="BB9" s="124">
        <f>IF(ISNUMBER(IF(J_V="SI",V9,V9+AJ9)),IF(J_V="SI",V9,V9+AJ9)," - ")</f>
        <v>7890</v>
      </c>
      <c r="BC9" s="125">
        <f>IF(ISNUMBER(X9),X9," - ")</f>
        <v>6570</v>
      </c>
      <c r="BD9" s="126">
        <f>IF(ISNUMBER(BA9/AZ9),BA9/AZ9," - ")</f>
        <v>1.0764224435460015</v>
      </c>
      <c r="BE9" s="127">
        <f>IF(ISNUMBER(BB9/BA9),BB9/BA9, " - ")</f>
        <v>0.36139611579333086</v>
      </c>
      <c r="BF9" s="127">
        <f>IF(ISNUMBER(BC9/BA9),BC9/BA9, " - ")</f>
        <v>0.30093440820813483</v>
      </c>
      <c r="BG9" s="195">
        <f>IF(ISNUMBER((AY9+AZ9)/BA9),(AY9+AZ9)/BA9," - ")</f>
        <v>1.3543422499083912</v>
      </c>
      <c r="BH9" s="153">
        <v>11</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59</v>
      </c>
      <c r="J10" s="180">
        <v>134</v>
      </c>
      <c r="K10" s="180">
        <v>150</v>
      </c>
      <c r="L10" s="180">
        <v>43</v>
      </c>
      <c r="M10" s="180">
        <v>67</v>
      </c>
      <c r="N10" s="180">
        <v>59</v>
      </c>
      <c r="O10" s="180">
        <v>46</v>
      </c>
      <c r="P10" s="180">
        <v>69</v>
      </c>
      <c r="Q10" s="180">
        <v>36</v>
      </c>
      <c r="R10" s="180">
        <v>115</v>
      </c>
      <c r="S10" s="180">
        <v>52</v>
      </c>
      <c r="T10" s="180">
        <v>134</v>
      </c>
      <c r="U10" s="180">
        <v>127</v>
      </c>
      <c r="V10" s="180">
        <v>59</v>
      </c>
      <c r="W10" s="180">
        <v>62</v>
      </c>
      <c r="X10" s="187">
        <v>76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52</v>
      </c>
      <c r="AZ10" s="129">
        <f t="shared" si="0"/>
        <v>134</v>
      </c>
      <c r="BA10" s="129">
        <f t="shared" si="0"/>
        <v>127</v>
      </c>
      <c r="BB10" s="129">
        <f t="shared" si="0"/>
        <v>59</v>
      </c>
      <c r="BC10" s="125">
        <f t="shared" si="0"/>
        <v>62</v>
      </c>
      <c r="BD10" s="126">
        <f>IF(ISNUMBER(BA10/AZ10),BA10/AZ10," - ")</f>
        <v>0.94776119402985071</v>
      </c>
      <c r="BE10" s="127">
        <f>IF(ISNUMBER(BB10/BA10),BB10/BA10, " - ")</f>
        <v>0.46456692913385828</v>
      </c>
      <c r="BF10" s="127">
        <f>IF(ISNUMBER(BC10/BA10),BC10/BA10, " - ")</f>
        <v>0.48818897637795278</v>
      </c>
      <c r="BG10" s="195">
        <f>IF(ISNUMBER((AY10+AZ10)/BA10),(AY10+AZ10)/BA10," - ")</f>
        <v>1.4645669291338583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632</v>
      </c>
      <c r="J11" s="182">
        <v>1395</v>
      </c>
      <c r="K11" s="182">
        <v>1563</v>
      </c>
      <c r="L11" s="182">
        <v>464</v>
      </c>
      <c r="M11" s="182">
        <v>703</v>
      </c>
      <c r="N11" s="182">
        <v>1559</v>
      </c>
      <c r="O11" s="180">
        <v>783</v>
      </c>
      <c r="P11" s="182">
        <v>247</v>
      </c>
      <c r="Q11" s="182">
        <v>331</v>
      </c>
      <c r="R11" s="182">
        <v>625</v>
      </c>
      <c r="S11" s="182">
        <v>807</v>
      </c>
      <c r="T11" s="182">
        <v>1546</v>
      </c>
      <c r="U11" s="182">
        <v>1736</v>
      </c>
      <c r="V11" s="182">
        <v>632</v>
      </c>
      <c r="W11" s="182">
        <v>734</v>
      </c>
      <c r="X11" s="188">
        <v>1691</v>
      </c>
      <c r="Y11" s="190">
        <v>110</v>
      </c>
      <c r="Z11" s="180">
        <v>1009</v>
      </c>
      <c r="AA11" s="180">
        <v>1026</v>
      </c>
      <c r="AB11" s="180">
        <v>93</v>
      </c>
      <c r="AC11" s="182">
        <v>0</v>
      </c>
      <c r="AD11" s="182">
        <v>0</v>
      </c>
      <c r="AE11" s="182">
        <v>0</v>
      </c>
      <c r="AF11" s="188">
        <v>0</v>
      </c>
      <c r="AG11" s="201">
        <v>189</v>
      </c>
      <c r="AH11" s="182">
        <v>1026</v>
      </c>
      <c r="AI11" s="182">
        <v>1145</v>
      </c>
      <c r="AJ11" s="202">
        <v>110</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996</v>
      </c>
      <c r="AZ11" s="127">
        <f t="shared" si="1"/>
        <v>2572</v>
      </c>
      <c r="BA11" s="127">
        <f t="shared" si="1"/>
        <v>2881</v>
      </c>
      <c r="BB11" s="127">
        <f t="shared" si="1"/>
        <v>742</v>
      </c>
      <c r="BC11" s="125">
        <f>IF(ISNUMBER(X11),X11," - ")</f>
        <v>1691</v>
      </c>
      <c r="BD11" s="126">
        <f t="shared" ref="BD11:BD12" si="2">IF(ISNUMBER(BA11/AZ11),BA11/AZ11," - ")</f>
        <v>1.1201399688958009</v>
      </c>
      <c r="BE11" s="127">
        <f t="shared" ref="BE11:BE12" si="3">IF(ISNUMBER(BB11/BA11),BB11/BA11, " - ")</f>
        <v>0.25754946199236378</v>
      </c>
      <c r="BF11" s="127">
        <f t="shared" ref="BF11:BF12" si="4">IF(ISNUMBER(BC11/BA11),BC11/BA11, " - ")</f>
        <v>0.58694897604998264</v>
      </c>
      <c r="BG11" s="195">
        <f t="shared" ref="BG11:BG12" si="5">IF(ISNUMBER((AY11+AZ11)/BA11),(AY11+AZ11)/BA11," - ")</f>
        <v>1.2384588684484554</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8378</v>
      </c>
      <c r="J13" s="183">
        <f t="shared" si="6"/>
        <v>14184</v>
      </c>
      <c r="K13" s="183">
        <f t="shared" si="6"/>
        <v>16983</v>
      </c>
      <c r="L13" s="183">
        <f t="shared" si="6"/>
        <v>6285</v>
      </c>
      <c r="M13" s="183">
        <f t="shared" si="6"/>
        <v>6482</v>
      </c>
      <c r="N13" s="183">
        <f t="shared" si="6"/>
        <v>6128</v>
      </c>
      <c r="O13" s="183">
        <f t="shared" si="6"/>
        <v>9146</v>
      </c>
      <c r="P13" s="183">
        <f t="shared" si="6"/>
        <v>5326</v>
      </c>
      <c r="Q13" s="183">
        <f t="shared" si="6"/>
        <v>5927</v>
      </c>
      <c r="R13" s="183">
        <f t="shared" si="6"/>
        <v>13748</v>
      </c>
      <c r="S13" s="183">
        <f t="shared" si="6"/>
        <v>9764</v>
      </c>
      <c r="T13" s="183">
        <f t="shared" si="6"/>
        <v>20575</v>
      </c>
      <c r="U13" s="183">
        <f t="shared" si="6"/>
        <v>22125</v>
      </c>
      <c r="V13" s="183">
        <f t="shared" si="6"/>
        <v>8378</v>
      </c>
      <c r="W13" s="183">
        <f t="shared" si="6"/>
        <v>7814</v>
      </c>
      <c r="X13" s="183">
        <f t="shared" si="6"/>
        <v>8337</v>
      </c>
      <c r="Y13" s="183">
        <f t="shared" si="6"/>
        <v>313</v>
      </c>
      <c r="Z13" s="183">
        <f t="shared" si="6"/>
        <v>2728</v>
      </c>
      <c r="AA13" s="183">
        <f t="shared" si="6"/>
        <v>2520</v>
      </c>
      <c r="AB13" s="183">
        <f t="shared" si="6"/>
        <v>522</v>
      </c>
      <c r="AC13" s="183">
        <f t="shared" si="6"/>
        <v>0</v>
      </c>
      <c r="AD13" s="183">
        <f t="shared" si="6"/>
        <v>0</v>
      </c>
      <c r="AE13" s="183">
        <f t="shared" si="6"/>
        <v>0</v>
      </c>
      <c r="AF13" s="183">
        <f>SUBTOTAL(9,AF9:AF12)</f>
        <v>0</v>
      </c>
      <c r="AG13" s="183">
        <f t="shared" ref="AG13:AT13" si="7">SUBTOTAL(9,AG8:AG12)</f>
        <v>570</v>
      </c>
      <c r="AH13" s="183">
        <f t="shared" si="7"/>
        <v>2413</v>
      </c>
      <c r="AI13" s="183">
        <f t="shared" si="7"/>
        <v>2715</v>
      </c>
      <c r="AJ13" s="183">
        <f t="shared" si="7"/>
        <v>313</v>
      </c>
      <c r="AK13" s="183">
        <f t="shared" si="7"/>
        <v>0</v>
      </c>
      <c r="AL13" s="183">
        <f t="shared" si="7"/>
        <v>0</v>
      </c>
      <c r="AM13" s="183">
        <f t="shared" si="7"/>
        <v>0</v>
      </c>
      <c r="AN13" s="183">
        <f t="shared" si="7"/>
        <v>0</v>
      </c>
      <c r="AO13" s="183">
        <f t="shared" si="7"/>
        <v>14</v>
      </c>
      <c r="AP13" s="183">
        <f t="shared" si="7"/>
        <v>14</v>
      </c>
      <c r="AQ13" s="183">
        <f t="shared" si="7"/>
        <v>14</v>
      </c>
      <c r="AR13" s="183">
        <f t="shared" si="7"/>
        <v>14</v>
      </c>
      <c r="AS13" s="183">
        <f t="shared" si="7"/>
        <v>0</v>
      </c>
      <c r="AT13" s="183">
        <f t="shared" si="7"/>
        <v>0</v>
      </c>
      <c r="AU13" s="203"/>
      <c r="AV13" s="132"/>
      <c r="AW13" s="203"/>
      <c r="AX13" s="132"/>
      <c r="AY13" s="183">
        <f>SUBTOTAL(9,AY8:AY12)</f>
        <v>10334</v>
      </c>
      <c r="AZ13" s="183">
        <f>SUBTOTAL(9,AZ8:AZ12)</f>
        <v>22988</v>
      </c>
      <c r="BA13" s="183">
        <f>SUBTOTAL(9,BA8:BA12)</f>
        <v>24840</v>
      </c>
      <c r="BB13" s="183">
        <f>SUBTOTAL(9,BB8:BB12)</f>
        <v>8691</v>
      </c>
      <c r="BC13" s="183">
        <f>SUBTOTAL(9,BC8:BC12)</f>
        <v>8323</v>
      </c>
      <c r="BD13" s="204">
        <f>IF(ISNUMBER(BA13/AZ13),BA13/AZ13," - ")</f>
        <v>1.0805637724029928</v>
      </c>
      <c r="BE13" s="205">
        <f>IF(ISNUMBER(BB13/BA13),BB13/BA13, " - ")</f>
        <v>0.34987922705314012</v>
      </c>
      <c r="BF13" s="205">
        <f>IF(ISNUMBER(BC13/BA13),BC13/BA13, " - ")</f>
        <v>0.33506441223832528</v>
      </c>
      <c r="BG13" s="206">
        <f>IF(ISNUMBER((AY13+AZ13)/BA13),(AY13+AZ13)/BA13," - ")</f>
        <v>1.3414653784219002</v>
      </c>
      <c r="BH13" s="139">
        <f>SUBTOTAL(9,BH8:BH12)</f>
        <v>14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1267</v>
      </c>
      <c r="J15" s="182">
        <v>10324</v>
      </c>
      <c r="K15" s="182">
        <v>10030</v>
      </c>
      <c r="L15" s="182">
        <v>1622</v>
      </c>
      <c r="M15" s="182">
        <v>2364</v>
      </c>
      <c r="N15" s="182">
        <v>5170</v>
      </c>
      <c r="O15" s="180">
        <v>796</v>
      </c>
      <c r="P15" s="182">
        <v>1035</v>
      </c>
      <c r="Q15" s="182">
        <v>1213</v>
      </c>
      <c r="R15" s="182">
        <v>434</v>
      </c>
      <c r="S15" s="182">
        <v>1561</v>
      </c>
      <c r="T15" s="182">
        <v>10657</v>
      </c>
      <c r="U15" s="182">
        <v>11070</v>
      </c>
      <c r="V15" s="182">
        <v>1267</v>
      </c>
      <c r="W15" s="182">
        <v>2533</v>
      </c>
      <c r="X15" s="188">
        <v>5596</v>
      </c>
      <c r="Y15" s="201">
        <v>0</v>
      </c>
      <c r="Z15" s="182">
        <v>0</v>
      </c>
      <c r="AA15" s="182">
        <v>0</v>
      </c>
      <c r="AB15" s="182">
        <v>0</v>
      </c>
      <c r="AC15" s="182">
        <v>5</v>
      </c>
      <c r="AD15" s="182">
        <v>142</v>
      </c>
      <c r="AE15" s="182">
        <v>142</v>
      </c>
      <c r="AF15" s="188">
        <v>5</v>
      </c>
      <c r="AG15" s="201">
        <v>0</v>
      </c>
      <c r="AH15" s="182">
        <v>0</v>
      </c>
      <c r="AI15" s="182">
        <v>0</v>
      </c>
      <c r="AJ15" s="202">
        <v>0</v>
      </c>
      <c r="AK15" s="181">
        <v>4</v>
      </c>
      <c r="AL15" s="182">
        <v>169</v>
      </c>
      <c r="AM15" s="182">
        <v>168</v>
      </c>
      <c r="AN15" s="188">
        <v>5</v>
      </c>
      <c r="AO15" s="258">
        <v>5</v>
      </c>
      <c r="AP15" s="154">
        <v>5</v>
      </c>
      <c r="AQ15" s="154">
        <v>5</v>
      </c>
      <c r="AR15" s="154">
        <v>5</v>
      </c>
      <c r="AS15" s="339" t="s">
        <v>522</v>
      </c>
      <c r="AT15" s="202" t="s">
        <v>326</v>
      </c>
      <c r="AU15" s="201"/>
      <c r="AV15" s="202"/>
      <c r="AW15" s="201"/>
      <c r="AX15" s="202"/>
      <c r="AY15" s="128">
        <f t="shared" ref="AY15:BB16" si="9">IF(ISNUMBER(IF(D_I="SI",S15,S15+AK15)),IF(D_I="SI",S15,S15+AK15)," - ")</f>
        <v>1561</v>
      </c>
      <c r="AZ15" s="129">
        <f t="shared" si="9"/>
        <v>10657</v>
      </c>
      <c r="BA15" s="129">
        <f t="shared" si="9"/>
        <v>11070</v>
      </c>
      <c r="BB15" s="129">
        <f t="shared" si="9"/>
        <v>1267</v>
      </c>
      <c r="BC15" s="125">
        <f>IF(ISNUMBER(W15),W15," - ")</f>
        <v>2533</v>
      </c>
      <c r="BD15" s="126">
        <f>IF(ISNUMBER(BA15/AZ15),BA15/AZ15," - ")</f>
        <v>1.0387538706953177</v>
      </c>
      <c r="BE15" s="127">
        <f>IF(ISNUMBER(BB15/BA15),BB15/BA15, " - ")</f>
        <v>0.11445347786811201</v>
      </c>
      <c r="BF15" s="127">
        <f>IF(ISNUMBER(BC15/BA15),BC15/BA15, " - ")</f>
        <v>0.22881662149954832</v>
      </c>
      <c r="BG15" s="195">
        <f t="shared" ref="BG15:BG16" si="10">IF(ISNUMBER((AY15+AZ15)/BA15),(AY15+AZ15)/BA15," - ")</f>
        <v>1.1037037037037036</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92</v>
      </c>
      <c r="J17" s="182">
        <v>1593</v>
      </c>
      <c r="K17" s="182">
        <v>1556</v>
      </c>
      <c r="L17" s="182">
        <v>129</v>
      </c>
      <c r="M17" s="182">
        <v>205</v>
      </c>
      <c r="N17" s="182">
        <v>686</v>
      </c>
      <c r="O17" s="182">
        <v>35</v>
      </c>
      <c r="P17" s="182">
        <v>40</v>
      </c>
      <c r="Q17" s="182">
        <v>35</v>
      </c>
      <c r="R17" s="182">
        <v>17</v>
      </c>
      <c r="S17" s="182">
        <v>89</v>
      </c>
      <c r="T17" s="182">
        <v>1518</v>
      </c>
      <c r="U17" s="182">
        <v>1521</v>
      </c>
      <c r="V17" s="182">
        <v>92</v>
      </c>
      <c r="W17" s="182">
        <v>169</v>
      </c>
      <c r="X17" s="188">
        <v>671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89</v>
      </c>
      <c r="AZ17" s="129">
        <f t="shared" si="14"/>
        <v>1518</v>
      </c>
      <c r="BA17" s="129">
        <f t="shared" si="14"/>
        <v>1521</v>
      </c>
      <c r="BB17" s="129">
        <f t="shared" si="14"/>
        <v>92</v>
      </c>
      <c r="BC17" s="125">
        <f>IF(ISNUMBER(W17),W17," - ")</f>
        <v>169</v>
      </c>
      <c r="BD17" s="126">
        <f>IF(ISNUMBER(BA17/AZ17),BA17/AZ17," - ")</f>
        <v>1.0019762845849802</v>
      </c>
      <c r="BE17" s="127">
        <f>IF(ISNUMBER(BB17/BA17),BB17/BA17, " - ")</f>
        <v>6.0486522024983565E-2</v>
      </c>
      <c r="BF17" s="127">
        <f>IF(ISNUMBER(BC17/BA17),BC17/BA17, " - ")</f>
        <v>0.1111111111111111</v>
      </c>
      <c r="BG17" s="195">
        <f>IF(ISNUMBER((AY17+AZ17)/BA17),(AY17+AZ17)/BA17," - ")</f>
        <v>1.0565417488494411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1359</v>
      </c>
      <c r="J18" s="183">
        <f t="shared" si="15"/>
        <v>11917</v>
      </c>
      <c r="K18" s="183">
        <f t="shared" si="15"/>
        <v>11586</v>
      </c>
      <c r="L18" s="183">
        <f t="shared" si="15"/>
        <v>1751</v>
      </c>
      <c r="M18" s="183">
        <f t="shared" si="15"/>
        <v>2569</v>
      </c>
      <c r="N18" s="183">
        <f t="shared" si="15"/>
        <v>5856</v>
      </c>
      <c r="O18" s="183">
        <f t="shared" si="15"/>
        <v>831</v>
      </c>
      <c r="P18" s="183">
        <f t="shared" si="15"/>
        <v>1075</v>
      </c>
      <c r="Q18" s="183">
        <f t="shared" si="15"/>
        <v>1248</v>
      </c>
      <c r="R18" s="183">
        <f t="shared" si="15"/>
        <v>451</v>
      </c>
      <c r="S18" s="183">
        <f t="shared" si="15"/>
        <v>1650</v>
      </c>
      <c r="T18" s="183">
        <f t="shared" si="15"/>
        <v>12175</v>
      </c>
      <c r="U18" s="183">
        <f t="shared" si="15"/>
        <v>12591</v>
      </c>
      <c r="V18" s="183">
        <f t="shared" si="15"/>
        <v>1359</v>
      </c>
      <c r="W18" s="183">
        <f t="shared" si="15"/>
        <v>2702</v>
      </c>
      <c r="X18" s="183">
        <f t="shared" si="15"/>
        <v>6267</v>
      </c>
      <c r="Y18" s="183">
        <f t="shared" si="15"/>
        <v>0</v>
      </c>
      <c r="Z18" s="183">
        <f t="shared" si="15"/>
        <v>0</v>
      </c>
      <c r="AA18" s="183">
        <f t="shared" si="15"/>
        <v>0</v>
      </c>
      <c r="AB18" s="183">
        <f t="shared" si="15"/>
        <v>0</v>
      </c>
      <c r="AC18" s="183">
        <f t="shared" si="15"/>
        <v>5</v>
      </c>
      <c r="AD18" s="183">
        <f t="shared" si="15"/>
        <v>142</v>
      </c>
      <c r="AE18" s="183">
        <f t="shared" si="15"/>
        <v>142</v>
      </c>
      <c r="AF18" s="183">
        <f t="shared" si="15"/>
        <v>5</v>
      </c>
      <c r="AG18" s="183">
        <f t="shared" si="15"/>
        <v>0</v>
      </c>
      <c r="AH18" s="183">
        <f t="shared" si="15"/>
        <v>0</v>
      </c>
      <c r="AI18" s="183">
        <f t="shared" si="15"/>
        <v>0</v>
      </c>
      <c r="AJ18" s="183">
        <f t="shared" si="15"/>
        <v>0</v>
      </c>
      <c r="AK18" s="183">
        <f t="shared" si="15"/>
        <v>4</v>
      </c>
      <c r="AL18" s="183">
        <f t="shared" si="15"/>
        <v>169</v>
      </c>
      <c r="AM18" s="183">
        <f t="shared" si="15"/>
        <v>168</v>
      </c>
      <c r="AN18" s="183">
        <f t="shared" si="15"/>
        <v>5</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1650</v>
      </c>
      <c r="AZ18" s="183">
        <f>SUBTOTAL(9,AZ14:AZ17)</f>
        <v>12175</v>
      </c>
      <c r="BA18" s="183">
        <f>SUBTOTAL(9,BA14:BA17)</f>
        <v>12591</v>
      </c>
      <c r="BB18" s="183">
        <f>SUBTOTAL(9,BB14:BB17)</f>
        <v>1359</v>
      </c>
      <c r="BC18" s="183">
        <f>SUBTOTAL(9,BC14:BC17)</f>
        <v>2702</v>
      </c>
      <c r="BD18" s="204">
        <f>IF(ISNUMBER(BA18/AZ18),BA18/AZ18," - ")</f>
        <v>1.0341683778234085</v>
      </c>
      <c r="BE18" s="205">
        <f>IF(ISNUMBER(BB18/BA18),BB18/BA18, " - ")</f>
        <v>0.10793423874195854</v>
      </c>
      <c r="BF18" s="205">
        <f>IF(ISNUMBER(BC18/BA18),BC18/BA18, " - ")</f>
        <v>0.21459772853625605</v>
      </c>
      <c r="BG18" s="206">
        <f>IF(ISNUMBER((AY18+AZ18)/BA18),(AY18+AZ18)/BA18," - ")</f>
        <v>1.0980065125883567</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9737</v>
      </c>
      <c r="J19" s="134">
        <f t="shared" si="18"/>
        <v>26101</v>
      </c>
      <c r="K19" s="134">
        <f t="shared" si="18"/>
        <v>28569</v>
      </c>
      <c r="L19" s="134">
        <f t="shared" si="18"/>
        <v>8036</v>
      </c>
      <c r="M19" s="134">
        <f t="shared" si="18"/>
        <v>9051</v>
      </c>
      <c r="N19" s="134">
        <f t="shared" si="18"/>
        <v>11984</v>
      </c>
      <c r="O19" s="134">
        <f t="shared" si="18"/>
        <v>9977</v>
      </c>
      <c r="P19" s="134">
        <f t="shared" si="18"/>
        <v>6401</v>
      </c>
      <c r="Q19" s="134">
        <f t="shared" si="18"/>
        <v>7175</v>
      </c>
      <c r="R19" s="134">
        <f t="shared" si="18"/>
        <v>14199</v>
      </c>
      <c r="S19" s="134">
        <f t="shared" si="18"/>
        <v>11414</v>
      </c>
      <c r="T19" s="134">
        <f t="shared" si="18"/>
        <v>32750</v>
      </c>
      <c r="U19" s="134">
        <f t="shared" si="18"/>
        <v>34716</v>
      </c>
      <c r="V19" s="134">
        <f t="shared" si="18"/>
        <v>9737</v>
      </c>
      <c r="W19" s="134">
        <f t="shared" si="18"/>
        <v>10516</v>
      </c>
      <c r="X19" s="134">
        <f t="shared" si="18"/>
        <v>14604</v>
      </c>
      <c r="Y19" s="134">
        <f t="shared" si="18"/>
        <v>313</v>
      </c>
      <c r="Z19" s="134">
        <f t="shared" si="18"/>
        <v>2728</v>
      </c>
      <c r="AA19" s="134">
        <f t="shared" si="18"/>
        <v>2520</v>
      </c>
      <c r="AB19" s="134">
        <f t="shared" si="18"/>
        <v>522</v>
      </c>
      <c r="AC19" s="134">
        <f t="shared" si="18"/>
        <v>5</v>
      </c>
      <c r="AD19" s="134">
        <f t="shared" si="18"/>
        <v>142</v>
      </c>
      <c r="AE19" s="134">
        <f t="shared" si="18"/>
        <v>142</v>
      </c>
      <c r="AF19" s="134">
        <f t="shared" si="18"/>
        <v>5</v>
      </c>
      <c r="AG19" s="134">
        <f t="shared" si="18"/>
        <v>570</v>
      </c>
      <c r="AH19" s="134">
        <f t="shared" si="18"/>
        <v>2413</v>
      </c>
      <c r="AI19" s="134">
        <f t="shared" si="18"/>
        <v>2715</v>
      </c>
      <c r="AJ19" s="134">
        <f t="shared" si="18"/>
        <v>313</v>
      </c>
      <c r="AK19" s="134">
        <f t="shared" si="18"/>
        <v>4</v>
      </c>
      <c r="AL19" s="134">
        <f t="shared" si="18"/>
        <v>169</v>
      </c>
      <c r="AM19" s="134">
        <f t="shared" si="18"/>
        <v>168</v>
      </c>
      <c r="AN19" s="209">
        <f t="shared" si="18"/>
        <v>5</v>
      </c>
      <c r="AO19" s="210">
        <v>19</v>
      </c>
      <c r="AP19" s="210">
        <v>19</v>
      </c>
      <c r="AQ19" s="210">
        <v>19</v>
      </c>
      <c r="AR19" s="210">
        <v>19</v>
      </c>
      <c r="AS19" s="152">
        <f t="shared" si="18"/>
        <v>0</v>
      </c>
      <c r="AT19" s="152">
        <f t="shared" si="18"/>
        <v>0</v>
      </c>
      <c r="AU19" s="210"/>
      <c r="AV19" s="211"/>
      <c r="AW19" s="210"/>
      <c r="AX19" s="211"/>
      <c r="AY19" s="133">
        <f>SUBTOTAL(9,AY9:AY18)</f>
        <v>11984</v>
      </c>
      <c r="AZ19" s="134">
        <f>SUBTOTAL(9,AZ9:AZ18)</f>
        <v>35163</v>
      </c>
      <c r="BA19" s="134">
        <f>SUBTOTAL(9,BA9:BA18)</f>
        <v>37431</v>
      </c>
      <c r="BB19" s="134">
        <f>SUBTOTAL(9,BB9:BB18)</f>
        <v>10050</v>
      </c>
      <c r="BC19" s="135">
        <f>SUBTOTAL(9,BC9:BC18)</f>
        <v>11025</v>
      </c>
      <c r="BD19" s="212">
        <f>IF(ISNUMBER(BA19/AZ19),BA19/AZ19," - ")</f>
        <v>1.0644996160737139</v>
      </c>
      <c r="BE19" s="209">
        <f>IF(ISNUMBER(BB19/BA19),BB19/BA19, " - ")</f>
        <v>0.26849402901338465</v>
      </c>
      <c r="BF19" s="209">
        <f>IF(ISNUMBER(BC19/BA19),BC19/BA19, " - ")</f>
        <v>0.29454195720125032</v>
      </c>
      <c r="BG19" s="135">
        <f>IF(ISNUMBER((AY19+AZ19)/BA19),(AY19+AZ19)/BA19," - ")</f>
        <v>1.2595709438700542</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IuArEN5NpiXvmGGNFVG9GFLbExWUgXP0w9W6pXu+40CzvRMKccZiYGDOZi1t1sl6hPYQ6CMPdfuoZGLduICTQ==" saltValue="no+nEKGZj/lhfh0BRZAB8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pHRelQQm9rXIV5VB1x9fFVMmm/63T7uzv/t3EeRkoN4I6jOwSK823YNbBvq41MLcuamoG+nvqAW2DmfezQW3w==" saltValue="tFIZcDUaf6kz/hZNaaoSp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SANTANDER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11</v>
      </c>
      <c r="B9" s="500" t="s">
        <v>246</v>
      </c>
      <c r="C9" s="159" t="str">
        <f>Datos!A9</f>
        <v xml:space="preserve">Jdos. 1ª Instancia   </v>
      </c>
      <c r="D9" s="501"/>
      <c r="E9" s="259">
        <f>IF(ISNUMBER(Datos!AQ9),Datos!AQ9," - ")</f>
        <v>11</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1719</v>
      </c>
      <c r="O9" s="333"/>
      <c r="P9" s="333"/>
      <c r="Q9" s="225">
        <f>IF(ISNUMBER(Datos!P9),Datos!P9,0)</f>
        <v>5010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5560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429</v>
      </c>
      <c r="AI9" s="333" t="str">
        <f>IF(ISNUMBER(Datos!CD9),Datos!CD9,"-")</f>
        <v>-</v>
      </c>
      <c r="AJ9" s="333" t="str">
        <f>IF(ISNUMBER(Datos!EN9),Datos!EN9," - ")</f>
        <v xml:space="preserve"> - </v>
      </c>
      <c r="AK9" s="333"/>
      <c r="AL9" s="478"/>
      <c r="AM9" s="334">
        <f>IF(ISNUMBER(Datos!R9),Datos!R9," - ")</f>
        <v>13008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5712</v>
      </c>
      <c r="BD9" s="228">
        <f>IF(ISNUMBER(Datos!N9),Datos!N9," - ")</f>
        <v>4510</v>
      </c>
      <c r="BE9" s="228" t="str">
        <f>IF(ISNUMBER(Datos!BW9),Datos!BW9," - ")</f>
        <v xml:space="preserve"> - </v>
      </c>
      <c r="BF9" s="227" t="str">
        <f>IF(ISNUMBER(Datos!BX9),Datos!BX9," - ")</f>
        <v xml:space="preserve"> - </v>
      </c>
      <c r="BG9" s="242">
        <f>IF(ISNUMBER(IF(J_V="SI",Datos!K9/Datos!J9,(Datos!K9+Datos!AA9)/(Datos!J9+Datos!Z9))),IF(J_V="SI",Datos!K9/Datos!J9,(Datos!K9+Datos!AA9)/(Datos!J9+Datos!Z9))," - ")</f>
        <v>1.1662724363433978</v>
      </c>
      <c r="BH9" s="259">
        <f>IF(ISNUMBER(((IF(J_V="SI",Datos!L9/Datos!K9,(Datos!L9+Datos!AB9)/(Datos!K9+Datos!AA9)))*11)/factor_trimestre),((IF(J_V="SI",Datos!L9/Datos!K9,(Datos!L9+Datos!AB9)/(Datos!K9+Datos!AA9)))*11)/factor_trimestre," - ")</f>
        <v>4.0728346456692917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-4.0566455229384867E-2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59</v>
      </c>
      <c r="G10" s="332">
        <f>IF(ISNUMBER(Datos!I10),Datos!I10," - ")</f>
        <v>59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150</v>
      </c>
      <c r="AC10" s="225">
        <f>IF(ISNUMBER(Datos!Q10),Datos!Q10," - ")</f>
        <v>36</v>
      </c>
      <c r="AD10" s="333"/>
      <c r="AE10" s="483"/>
      <c r="AF10" s="331">
        <f>IF(ISNUMBER(Datos!L10),Datos!L10,"-")</f>
        <v>43</v>
      </c>
      <c r="AG10" s="333"/>
      <c r="AH10" s="333"/>
      <c r="AI10" s="333"/>
      <c r="AJ10" s="333"/>
      <c r="AK10" s="333"/>
      <c r="AL10" s="478"/>
      <c r="AM10" s="334">
        <f>IF(ISNUMBER(Datos!R10),Datos!R10," - ")</f>
        <v>115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67</v>
      </c>
      <c r="BD10" s="228">
        <f>IF(ISNUMBER(Datos!N10),Datos!N10," - ")</f>
        <v>59</v>
      </c>
      <c r="BE10" s="228" t="str">
        <f>IF(ISNUMBER(Datos!BW10),Datos!BW10," - ")</f>
        <v xml:space="preserve"> - </v>
      </c>
      <c r="BF10" s="227" t="str">
        <f>IF(ISNUMBER(Datos!BX10),Datos!BX10," - ")</f>
        <v xml:space="preserve"> - </v>
      </c>
      <c r="BG10" s="242">
        <f>IF(ISNUMBER(Datos!K10/Datos!J10),Datos!K10/Datos!J10," - ")</f>
        <v>1.1194029850746268</v>
      </c>
      <c r="BH10" s="259">
        <f>IF(ISNUMBER(((Datos!L10/Datos!K10)*11)/factor_trimestre),((Datos!L10/Datos!K10)*11)/factor_trimestre," - ")</f>
        <v>3.1533333333333333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0.40243902439024393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1009</v>
      </c>
      <c r="O11" s="333"/>
      <c r="P11" s="333"/>
      <c r="Q11" s="225">
        <f>IF(ISNUMBER(Datos!P11),Datos!P11,0)</f>
        <v>247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331</v>
      </c>
      <c r="AD11" s="333"/>
      <c r="AE11" s="483"/>
      <c r="AF11" s="331" t="str">
        <f>IF(ISNUMBER(IF(J_V="SI",Datos!L11,Datos!L11+Datos!AB11)-IF(Monitorios="SI",Datos!CD11,0)),
                          IF(J_V="SI",Datos!L11,Datos!L11+Datos!AB11)-IF(Monitorios="SI",Datos!CD11,0),
                          " - ")</f>
        <v xml:space="preserve"> - </v>
      </c>
      <c r="AG11" s="333"/>
      <c r="AH11" s="333">
        <f>IF(ISNUMBER(Datos!AB11),Datos!AB11,"-")</f>
        <v>93</v>
      </c>
      <c r="AI11" s="333"/>
      <c r="AJ11" s="333"/>
      <c r="AK11" s="333"/>
      <c r="AL11" s="478"/>
      <c r="AM11" s="334">
        <f>IF(ISNUMBER(Datos!R11),Datos!R11," - ")</f>
        <v>625</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703</v>
      </c>
      <c r="BD11" s="228">
        <f>IF(ISNUMBER(Datos!N11),Datos!N11," - ")</f>
        <v>1559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1.0769550748752079</v>
      </c>
      <c r="BH11" s="259">
        <f>IF(ISNUMBER(((IF(J_V="SI",Datos!L11/Datos!K11,(Datos!L11+Datos!AB11)/(Datos!K11+Datos!AA11)))*11)/factor_trimestre),((IF(J_V="SI",Datos!L11/Datos!K11,(Datos!L11+Datos!AB11)/(Datos!K11+Datos!AA11)))*11)/factor_trimestre," - ")</f>
        <v>2.3665507918115103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-0.11847672778561354</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14</v>
      </c>
      <c r="F13" s="897">
        <f t="shared" si="0"/>
        <v>59</v>
      </c>
      <c r="G13" s="897">
        <f t="shared" si="0"/>
        <v>59</v>
      </c>
      <c r="H13" s="898">
        <f t="shared" si="0"/>
        <v>0</v>
      </c>
      <c r="I13" s="897">
        <f t="shared" si="0"/>
        <v>0</v>
      </c>
      <c r="J13" s="866">
        <f t="shared" si="0"/>
        <v>0</v>
      </c>
      <c r="K13" s="866">
        <f t="shared" si="0"/>
        <v>0</v>
      </c>
      <c r="L13" s="898">
        <f t="shared" si="0"/>
        <v>0</v>
      </c>
      <c r="M13" s="898">
        <f t="shared" si="0"/>
        <v>0</v>
      </c>
      <c r="N13" s="898">
        <f t="shared" si="0"/>
        <v>2728</v>
      </c>
      <c r="O13" s="899">
        <f t="shared" si="0"/>
        <v>0</v>
      </c>
      <c r="P13" s="899">
        <f t="shared" si="0"/>
        <v>0</v>
      </c>
      <c r="Q13" s="898">
        <f t="shared" si="0"/>
        <v>5326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150</v>
      </c>
      <c r="AC13" s="898">
        <f t="shared" si="1"/>
        <v>5927</v>
      </c>
      <c r="AD13" s="898">
        <f t="shared" si="1"/>
        <v>0</v>
      </c>
      <c r="AE13" s="898">
        <f t="shared" si="1"/>
        <v>0</v>
      </c>
      <c r="AF13" s="898">
        <f t="shared" si="1"/>
        <v>43</v>
      </c>
      <c r="AG13" s="898">
        <f t="shared" si="1"/>
        <v>0</v>
      </c>
      <c r="AH13" s="898">
        <f t="shared" si="1"/>
        <v>522</v>
      </c>
      <c r="AI13" s="898">
        <f t="shared" si="1"/>
        <v>0</v>
      </c>
      <c r="AJ13" s="898">
        <f t="shared" si="1"/>
        <v>0</v>
      </c>
      <c r="AK13" s="898">
        <f t="shared" si="1"/>
        <v>0</v>
      </c>
      <c r="AL13" s="898">
        <f t="shared" si="1"/>
        <v>0</v>
      </c>
      <c r="AM13" s="898">
        <f t="shared" si="1"/>
        <v>13748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6482</v>
      </c>
      <c r="BD13" s="898">
        <f t="shared" si="1"/>
        <v>6128</v>
      </c>
      <c r="BE13" s="898">
        <f t="shared" si="1"/>
        <v>0</v>
      </c>
      <c r="BF13" s="898">
        <f t="shared" si="1"/>
        <v>0</v>
      </c>
      <c r="BG13" s="898">
        <f>IF(ISNUMBER(Datos!K13/Datos!J13),Datos!K13/Datos!J13," - ")</f>
        <v>1.1973350253807107</v>
      </c>
      <c r="BH13" s="902">
        <f>IF(ISNUMBER(((Datos!L13/Datos!K13)*11)/factor_trimestre),((Datos!L13/Datos!K13)*11)/factor_trimestre," - ")</f>
        <v>4.0708355414237767</v>
      </c>
      <c r="BI13" s="898">
        <f>IF(ISNUMBER('Resol  Asuntos'!D13/NºAsuntos!G13),'Resol  Asuntos'!D13/NºAsuntos!G13," - ")</f>
        <v>0.3323591242372968</v>
      </c>
      <c r="BJ13" s="898" t="str">
        <f>IF(ISNUMBER(Datos!CI13/Datos!CJ13),Datos!CI13/Datos!CJ13," - ")</f>
        <v xml:space="preserve"> - </v>
      </c>
      <c r="BK13" s="898">
        <f>SUBTOTAL(9,BK8:BK12)</f>
        <v>0</v>
      </c>
      <c r="BL13" s="898">
        <f>IF(ISNUMBER((I13-AB13+L13)/(F13)),(I13-AB13+L13)/(F13)," - ")</f>
        <v>-2.5423728813559321</v>
      </c>
      <c r="BM13" s="903">
        <f>SUBTOTAL(9,BM9:BM12)</f>
        <v>0.24339584137524556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1328</v>
      </c>
      <c r="G15" s="597">
        <f>IF(ISNUMBER(IF(D_I="SI",Datos!I15,Datos!I15+Datos!AC15)),IF(D_I="SI",Datos!I15,Datos!I15+Datos!AC15)," - ")</f>
        <v>1267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1035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10030</v>
      </c>
      <c r="AC15" s="225">
        <f>IF(ISNUMBER(Datos!Q15),Datos!Q15," - ")</f>
        <v>1213</v>
      </c>
      <c r="AD15" s="333"/>
      <c r="AE15" s="483"/>
      <c r="AF15" s="595">
        <f>IF(ISNUMBER(IF(D_I="SI",Datos!L15,Datos!L15+Datos!AF15)),IF(D_I="SI",Datos!L15,Datos!L15+Datos!AF15)," - ")</f>
        <v>1622</v>
      </c>
      <c r="AG15" s="333"/>
      <c r="AH15" s="333"/>
      <c r="AI15" s="333"/>
      <c r="AJ15" s="333"/>
      <c r="AK15" s="333"/>
      <c r="AL15" s="478"/>
      <c r="AM15" s="334">
        <f>IF(ISNUMBER(Datos!R15),Datos!R15," - ")</f>
        <v>434</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2364</v>
      </c>
      <c r="BD15" s="228">
        <f>IF(ISNUMBER(Datos!N15),Datos!N15," - ")</f>
        <v>5170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0.97152266563347545</v>
      </c>
      <c r="BH15" s="259">
        <f>IF(ISNUMBER(((IF(D_I="SI",Datos!L15/Datos!K15,(Datos!L15+Datos!AF15)/(Datos!K15+Datos!AE15)))*11)/factor_trimestre),((IF(D_I="SI",Datos!L15/Datos!K15,(Datos!L15+Datos!AF15)/(Datos!K15+Datos!AE15)))*11)/factor_trimestre," - ")</f>
        <v>1.7788634097706879</v>
      </c>
      <c r="BI15" s="242">
        <f>IF(ISNUMBER('Resol  Asuntos'!D15/NºAsuntos!G15),'Resol  Asuntos'!D15/NºAsuntos!G15," - ")</f>
        <v>0.23569292123629113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92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1556</v>
      </c>
      <c r="AC17" s="225">
        <f>IF(ISNUMBER(Datos!Q17),Datos!Q17," - ")</f>
        <v>35</v>
      </c>
      <c r="AD17" s="333"/>
      <c r="AE17" s="483"/>
      <c r="AF17" s="331">
        <f>IF(ISNUMBER(Datos!L17),Datos!L17,"-")</f>
        <v>129</v>
      </c>
      <c r="AG17" s="333"/>
      <c r="AH17" s="333"/>
      <c r="AI17" s="333"/>
      <c r="AJ17" s="333"/>
      <c r="AK17" s="333"/>
      <c r="AL17" s="478"/>
      <c r="AM17" s="334">
        <f>IF(ISNUMBER(Datos!R17),Datos!R17," - ")</f>
        <v>17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205</v>
      </c>
      <c r="BD17" s="228">
        <f>IF(ISNUMBER(Datos!N17),Datos!N17," - ")</f>
        <v>686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0.97677338355304455</v>
      </c>
      <c r="BH17" s="259">
        <f>IF(ISNUMBER(((IF(D_I="SI",Datos!L17/Datos!K17,(Datos!L17+Datos!AF17)/(Datos!K17+Datos!AE17)))*11)/factor_trimestre),((IF(D_I="SI",Datos!L17/Datos!K17,(Datos!L17+Datos!AF17)/(Datos!K17+Datos!AE17)))*11)/factor_trimestre," - ")</f>
        <v>0.91195372750642678</v>
      </c>
      <c r="BI17" s="242">
        <f>IF(ISNUMBER('Resol  Asuntos'!D17/NºAsuntos!G17),'Resol  Asuntos'!D17/NºAsuntos!G17," - ")</f>
        <v>0.13174807197943444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1328</v>
      </c>
      <c r="G18" s="897">
        <f>SUBTOTAL(9,G15:G17)</f>
        <v>1359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1075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11586</v>
      </c>
      <c r="AC18" s="898">
        <f t="shared" si="4"/>
        <v>1248</v>
      </c>
      <c r="AD18" s="898">
        <f t="shared" si="4"/>
        <v>0</v>
      </c>
      <c r="AE18" s="898">
        <f t="shared" si="4"/>
        <v>0</v>
      </c>
      <c r="AF18" s="898">
        <f t="shared" si="4"/>
        <v>1751</v>
      </c>
      <c r="AG18" s="898">
        <f t="shared" si="4"/>
        <v>0</v>
      </c>
      <c r="AH18" s="898">
        <f t="shared" si="4"/>
        <v>0</v>
      </c>
      <c r="AI18" s="898">
        <f t="shared" si="4"/>
        <v>0</v>
      </c>
      <c r="AJ18" s="898">
        <f t="shared" si="4"/>
        <v>0</v>
      </c>
      <c r="AK18" s="898">
        <f t="shared" si="4"/>
        <v>0</v>
      </c>
      <c r="AL18" s="898">
        <f t="shared" si="4"/>
        <v>0</v>
      </c>
      <c r="AM18" s="898">
        <f t="shared" si="4"/>
        <v>451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2569</v>
      </c>
      <c r="BD18" s="898">
        <f t="shared" si="4"/>
        <v>5856</v>
      </c>
      <c r="BE18" s="898">
        <f t="shared" si="4"/>
        <v>0</v>
      </c>
      <c r="BF18" s="898">
        <f t="shared" si="4"/>
        <v>0</v>
      </c>
      <c r="BG18" s="898">
        <f>IF(ISNUMBER(Datos!K18/Datos!J18),Datos!K18/Datos!J18," - ")</f>
        <v>0.97222455315935219</v>
      </c>
      <c r="BH18" s="902">
        <f>IF(ISNUMBER(((Datos!L18/Datos!K18)*11)/factor_trimestre),((Datos!L18/Datos!K18)*11)/factor_trimestre," - ")</f>
        <v>1.6624374244778179</v>
      </c>
      <c r="BI18" s="898">
        <f>SUBTOTAL(9,BI15:BI17)</f>
        <v>0.36744099321572554</v>
      </c>
      <c r="BJ18" s="898">
        <f>SUBTOTAL(9,BJ15:BJ17)</f>
        <v>0</v>
      </c>
      <c r="BK18" s="898">
        <f>SUBTOTAL(9,BK15:BK17)</f>
        <v>0</v>
      </c>
      <c r="BL18" s="898">
        <f>IF(ISNUMBER((I18-AB18+L18)/(F18)),(I18-AB18+L18)/(F18)," - ")</f>
        <v>-8.7243975903614466</v>
      </c>
      <c r="BM18" s="904">
        <f>IF(ISNUMBER((Datos!P18-Datos!Q18)/(Datos!R18-Datos!P18+Datos!Q18)),(Datos!P18-Datos!Q18)/(Datos!R18-Datos!P18+Datos!Q18)," - ")</f>
        <v>-0.27724358974358976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20</v>
      </c>
      <c r="F19" s="819">
        <f t="shared" si="6"/>
        <v>1387</v>
      </c>
      <c r="G19" s="819">
        <f t="shared" si="6"/>
        <v>1418</v>
      </c>
      <c r="H19" s="821">
        <f t="shared" si="6"/>
        <v>0</v>
      </c>
      <c r="I19" s="819">
        <f t="shared" si="6"/>
        <v>0</v>
      </c>
      <c r="J19" s="821">
        <f t="shared" si="6"/>
        <v>0</v>
      </c>
      <c r="K19" s="821">
        <f t="shared" si="6"/>
        <v>0</v>
      </c>
      <c r="L19" s="880">
        <f t="shared" si="6"/>
        <v>0</v>
      </c>
      <c r="M19" s="880">
        <f t="shared" si="6"/>
        <v>0</v>
      </c>
      <c r="N19" s="880">
        <f t="shared" si="6"/>
        <v>2728</v>
      </c>
      <c r="O19" s="880">
        <f t="shared" si="6"/>
        <v>0</v>
      </c>
      <c r="P19" s="880">
        <f t="shared" si="6"/>
        <v>0</v>
      </c>
      <c r="Q19" s="821">
        <f t="shared" si="6"/>
        <v>6401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11736</v>
      </c>
      <c r="AC19" s="820">
        <f t="shared" si="7"/>
        <v>7175</v>
      </c>
      <c r="AD19" s="820">
        <f t="shared" si="7"/>
        <v>0</v>
      </c>
      <c r="AE19" s="820">
        <f t="shared" si="7"/>
        <v>0</v>
      </c>
      <c r="AF19" s="827">
        <f t="shared" si="7"/>
        <v>1794</v>
      </c>
      <c r="AG19" s="827">
        <f t="shared" si="7"/>
        <v>0</v>
      </c>
      <c r="AH19" s="827">
        <f t="shared" si="7"/>
        <v>522</v>
      </c>
      <c r="AI19" s="827">
        <f t="shared" si="7"/>
        <v>0</v>
      </c>
      <c r="AJ19" s="820">
        <f t="shared" si="7"/>
        <v>0</v>
      </c>
      <c r="AK19" s="827">
        <f t="shared" si="7"/>
        <v>0</v>
      </c>
      <c r="AL19" s="827">
        <f t="shared" si="7"/>
        <v>0</v>
      </c>
      <c r="AM19" s="827">
        <f t="shared" si="7"/>
        <v>14199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9051</v>
      </c>
      <c r="BD19" s="819">
        <f t="shared" si="7"/>
        <v>11984</v>
      </c>
      <c r="BE19" s="819">
        <f t="shared" si="7"/>
        <v>0</v>
      </c>
      <c r="BF19" s="829">
        <f t="shared" si="7"/>
        <v>0</v>
      </c>
      <c r="BG19" s="914">
        <f>IF(ISNUMBER(Datos!K19/Datos!J19),Datos!K19/Datos!J19," - ")</f>
        <v>1.0945557641469676</v>
      </c>
      <c r="BH19" s="914">
        <f>IF(ISNUMBER(((Datos!L19/Datos!K19)*11)/factor_trimestre),((Datos!L19/Datos!K19)*11)/factor_trimestre," - ")</f>
        <v>3.0941230004550389</v>
      </c>
      <c r="BI19" s="812">
        <f>IF(ISNUMBER(Datos!J19/Datos!I19),Datos!J19/Datos!I19," - ")</f>
        <v>2.6805997740577179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-8.4614275414563807</v>
      </c>
      <c r="BM19" s="888">
        <f>IF(ISNUMBER((Datos!P19-Datos!Q19+R19)/(Datos!R19-Datos!P19+Datos!Q19-R19)),(Datos!P19-Datos!Q19+R19)/(Datos!R19-Datos!P19+Datos!Q19-R19)," - ")</f>
        <v>-5.1693047485473854E-2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567.20000000000005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5.0771820705759385</v>
      </c>
      <c r="F21" s="550">
        <f>IF(ISNUMBER(STDEV(F8:F18)),STDEV(F8:F18),"-")</f>
        <v>732.65749160163512</v>
      </c>
      <c r="G21" s="551">
        <f>IF(ISNUMBER(STDEV(G8:G18)),STDEV(G8:G18),"-")</f>
        <v>681.728831721235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5637.2749445099798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2600.0152563654956</v>
      </c>
      <c r="BD21" s="550"/>
      <c r="BE21" s="550">
        <f>IF(ISNUMBER(STDEV(BE8:BE18)),STDEV(BE8:BE18),"-")</f>
        <v>0</v>
      </c>
      <c r="BF21" s="555">
        <f>IF(ISNUMBER(STDEV(BF8:BF18)),STDEV(BF8:BF18),"-")</f>
        <v>0</v>
      </c>
      <c r="BG21" s="774">
        <f>IF(ISNUMBER(STDEV(BG8:BG18)),STDEV(BG8:BG18),"-")</f>
        <v>9.6529540853177831E-2</v>
      </c>
      <c r="BH21" s="775">
        <f>IF(ISNUMBER(STDEV(BH8:BH18)),STDEV(BH8:BH18),"-")</f>
        <v>1.2309393671540729</v>
      </c>
      <c r="BI21" s="248">
        <f>IF(ISNUMBER(STDEV(BI8:BI18)),STDEV(BI8:BI18),"-")</f>
        <v>0.10588245286632846</v>
      </c>
      <c r="BJ21" s="229" t="str">
        <f>IF(ISNUMBER(BL21/BM21),BL21/BM21," - ")</f>
        <v xml:space="preserve"> - </v>
      </c>
      <c r="BK21" s="574"/>
      <c r="BL21" s="558">
        <f>IF(ISNUMBER(STDEV(BL8:BL18)),STDEV(BL8:BL18),"-")</f>
        <v>4.3713515932005915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Lj9Qcxf1Qp1RPC8ewErLqyYxqM1wflt9w4u3Fjz6mo1YSB4tLEy3xMblu56gI2h2rm0EoDEBzYsl01erYGgdnw==" saltValue="8TUklE1pDnOHtx8RIlWv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SANTANDER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11</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5010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5560</v>
      </c>
      <c r="AA9" s="331" t="str">
        <f>IF(ISNUMBER(IF(J_V="SI",Datos!L9,Datos!L9+Datos!AB9)-IF(Monitorios="SI",Datos!CD9,0)),
                          IF(J_V="SI",Datos!L9,Datos!L9+Datos!AB9)-IF(Monitorios="SI",Datos!CD9,0),
                          " - ")</f>
        <v xml:space="preserve"> - </v>
      </c>
      <c r="AB9" s="333"/>
      <c r="AC9" s="333"/>
      <c r="AD9" s="483"/>
      <c r="AE9" s="483">
        <f>IF(ISNUMBER(Datos!R9),Datos!R9," - ")</f>
        <v>13008</v>
      </c>
      <c r="AF9" s="228" t="str">
        <f>IF(ISNUMBER(Datos!BV9),Datos!BV9," - ")</f>
        <v xml:space="preserve"> - </v>
      </c>
      <c r="AG9" s="224" t="str">
        <f>IF(ISNUMBER(Datos!DV9),Datos!DV9," - ")</f>
        <v xml:space="preserve"> - </v>
      </c>
      <c r="AH9" s="297"/>
      <c r="AI9" s="226"/>
      <c r="AJ9" s="224">
        <f>IF(ISNUMBER(Datos!M9),Datos!M9," - ")</f>
        <v>5712</v>
      </c>
      <c r="AK9" s="228">
        <f>IF(ISNUMBER(Datos!N9),Datos!N9," - ")</f>
        <v>4510</v>
      </c>
      <c r="AL9" s="228" t="str">
        <f>IF(ISNUMBER(Datos!BW9),Datos!BW9," - ")</f>
        <v xml:space="preserve"> - </v>
      </c>
      <c r="AM9" s="227" t="str">
        <f>IF(ISNUMBER(Datos!BX9),Datos!BX9," - ")</f>
        <v xml:space="preserve"> - </v>
      </c>
      <c r="AN9" s="242"/>
      <c r="AO9" s="259">
        <f>IF(ISNUMBER(((NºAsuntos!I9/NºAsuntos!G9)*11)/factor_trimestre),((NºAsuntos!I9/NºAsuntos!G9)*11)/factor_trimestre," - ")</f>
        <v>4.0728346456692917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-4.0566455229384867E-2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59</v>
      </c>
      <c r="G10" s="224">
        <f>IF(ISNUMBER(Datos!I10),Datos!I10," - ")</f>
        <v>59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150</v>
      </c>
      <c r="Z10" s="618">
        <f>IF(ISNUMBER(Datos!Q10),Datos!Q10," - ")</f>
        <v>36</v>
      </c>
      <c r="AA10" s="331">
        <f>IF(ISNUMBER(Datos!L10),Datos!L10,"-")</f>
        <v>43</v>
      </c>
      <c r="AB10" s="333"/>
      <c r="AC10" s="333"/>
      <c r="AD10" s="483"/>
      <c r="AE10" s="483">
        <f>IF(ISNUMBER(Datos!R10),Datos!R10," - ")</f>
        <v>115</v>
      </c>
      <c r="AF10" s="228" t="str">
        <f>IF(ISNUMBER(Datos!BV10),Datos!BV10," - ")</f>
        <v xml:space="preserve"> - </v>
      </c>
      <c r="AG10" s="224" t="str">
        <f>IF(ISNUMBER(Datos!DV10),Datos!DV10," - ")</f>
        <v xml:space="preserve"> - </v>
      </c>
      <c r="AH10" s="297"/>
      <c r="AI10" s="226"/>
      <c r="AJ10" s="224">
        <f>IF(ISNUMBER(Datos!M10),Datos!M10," - ")</f>
        <v>67</v>
      </c>
      <c r="AK10" s="228">
        <f>IF(ISNUMBER(Datos!N10),Datos!N10," - ")</f>
        <v>59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3.1533333333333333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0.40243902439024393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247</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331</v>
      </c>
      <c r="AA11" s="331" t="str">
        <f>IF(ISNUMBER(IF(J_V="SI",Datos!L11,Datos!L11+Datos!AB11)-IF(Monitorios="SI",Datos!CD11,0)),
                          IF(J_V="SI",Datos!L11,Datos!L11+Datos!AB11)-IF(Monitorios="SI",Datos!CD11,0),
                          " - ")</f>
        <v xml:space="preserve"> - </v>
      </c>
      <c r="AB11" s="333"/>
      <c r="AC11" s="333"/>
      <c r="AD11" s="483"/>
      <c r="AE11" s="483">
        <f>IF(ISNUMBER(Datos!R11),Datos!R11," - ")</f>
        <v>625</v>
      </c>
      <c r="AF11" s="228" t="str">
        <f>IF(ISNUMBER(Datos!BV11),Datos!BV11," - ")</f>
        <v xml:space="preserve"> - </v>
      </c>
      <c r="AG11" s="224" t="str">
        <f>IF(ISNUMBER(Datos!DV11),Datos!DV11," - ")</f>
        <v xml:space="preserve"> - </v>
      </c>
      <c r="AH11" s="297"/>
      <c r="AI11" s="226"/>
      <c r="AJ11" s="224">
        <f>IF(ISNUMBER(Datos!M11),Datos!M11," - ")</f>
        <v>703</v>
      </c>
      <c r="AK11" s="228">
        <f>IF(ISNUMBER(Datos!N11),Datos!N11," - ")</f>
        <v>1559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2.3665507918115103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-0.11847672778561354</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14</v>
      </c>
      <c r="F13" s="897">
        <f>SUBTOTAL(9,F8:F12)</f>
        <v>59</v>
      </c>
      <c r="G13" s="897">
        <f>SUBTOTAL(9,G8:G12)</f>
        <v>59</v>
      </c>
      <c r="H13" s="907"/>
      <c r="I13" s="897">
        <f t="shared" ref="I13:N13" si="0">SUBTOTAL(9,I8:I12)</f>
        <v>0</v>
      </c>
      <c r="J13" s="866">
        <f t="shared" si="0"/>
        <v>0</v>
      </c>
      <c r="K13" s="907">
        <f t="shared" si="0"/>
        <v>0</v>
      </c>
      <c r="L13" s="907">
        <f t="shared" si="0"/>
        <v>0</v>
      </c>
      <c r="M13" s="907">
        <f t="shared" si="0"/>
        <v>0</v>
      </c>
      <c r="N13" s="907">
        <f t="shared" si="0"/>
        <v>5326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150</v>
      </c>
      <c r="Z13" s="906">
        <f t="shared" si="2"/>
        <v>5927</v>
      </c>
      <c r="AA13" s="899">
        <f t="shared" si="2"/>
        <v>43</v>
      </c>
      <c r="AB13" s="899">
        <f t="shared" si="2"/>
        <v>0</v>
      </c>
      <c r="AC13" s="899">
        <f t="shared" si="2"/>
        <v>0</v>
      </c>
      <c r="AD13" s="899">
        <f t="shared" si="2"/>
        <v>0</v>
      </c>
      <c r="AE13" s="899">
        <f t="shared" si="2"/>
        <v>13748</v>
      </c>
      <c r="AF13" s="907">
        <f t="shared" si="2"/>
        <v>0</v>
      </c>
      <c r="AG13" s="907">
        <f t="shared" si="2"/>
        <v>0</v>
      </c>
      <c r="AH13" s="907">
        <f t="shared" si="2"/>
        <v>0</v>
      </c>
      <c r="AI13" s="907">
        <f t="shared" si="2"/>
        <v>0</v>
      </c>
      <c r="AJ13" s="907">
        <f t="shared" si="2"/>
        <v>6482</v>
      </c>
      <c r="AK13" s="907">
        <f t="shared" si="2"/>
        <v>6128</v>
      </c>
      <c r="AL13" s="907">
        <f t="shared" si="2"/>
        <v>0</v>
      </c>
      <c r="AM13" s="907">
        <f t="shared" si="2"/>
        <v>0</v>
      </c>
      <c r="AN13" s="907">
        <f t="shared" si="2"/>
        <v>0</v>
      </c>
      <c r="AO13" s="903">
        <f>IF(ISNUMBER(((NºAsuntos!I13/NºAsuntos!G13)*11)/factor_trimestre),((NºAsuntos!I13/NºAsuntos!G13)*11)/factor_trimestre," - ")</f>
        <v>3.8392554991539765</v>
      </c>
      <c r="AP13" s="909" t="str">
        <f>IF(ISNUMBER(Datos!CI13/Datos!CJ13),Datos!CI13/Datos!CJ13," - ")</f>
        <v xml:space="preserve"> - </v>
      </c>
      <c r="AQ13" s="927">
        <f t="shared" ref="AQ13:AV13" si="3">SUBTOTAL(9,AQ9:AQ12)</f>
        <v>0</v>
      </c>
      <c r="AR13" s="927">
        <f t="shared" si="3"/>
        <v>0.24339584137524556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1328</v>
      </c>
      <c r="G15" s="224">
        <f>IF(ISNUMBER(IF(D_I="SI",Datos!I15,Datos!I15+Datos!AC15)),IF(D_I="SI",Datos!I15,Datos!I15+Datos!AC15)," - ")</f>
        <v>1267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1035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10030</v>
      </c>
      <c r="Z15" s="618">
        <f>IF(ISNUMBER(Datos!Q15),Datos!Q15," - ")</f>
        <v>1213</v>
      </c>
      <c r="AA15" s="331">
        <f>IF(ISNUMBER(IF(D_I="SI",Datos!L15,Datos!L15+Datos!AF15)),IF(D_I="SI",Datos!L15,Datos!L15+Datos!AF15)," - ")</f>
        <v>1622</v>
      </c>
      <c r="AB15" s="333"/>
      <c r="AC15" s="333"/>
      <c r="AD15" s="483"/>
      <c r="AE15" s="483">
        <f>IF(ISNUMBER(Datos!R15),Datos!R15," - ")</f>
        <v>434</v>
      </c>
      <c r="AF15" s="228" t="str">
        <f>IF(ISNUMBER(Datos!BV15),Datos!BV15," - ")</f>
        <v xml:space="preserve"> - </v>
      </c>
      <c r="AG15" s="224"/>
      <c r="AH15" s="297"/>
      <c r="AI15" s="226"/>
      <c r="AJ15" s="224">
        <f>IF(ISNUMBER(Datos!M15),Datos!M15," - ")</f>
        <v>2364</v>
      </c>
      <c r="AK15" s="228">
        <f>IF(ISNUMBER(Datos!N15),Datos!N15," - ")</f>
        <v>5170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1.7788634097706879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92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1556</v>
      </c>
      <c r="Z17" s="618">
        <f>IF(ISNUMBER(Datos!Q17),Datos!Q17," - ")</f>
        <v>35</v>
      </c>
      <c r="AA17" s="331">
        <f>IF(ISNUMBER(Datos!L17),Datos!L17,"-")</f>
        <v>129</v>
      </c>
      <c r="AB17" s="333"/>
      <c r="AC17" s="333"/>
      <c r="AD17" s="483"/>
      <c r="AE17" s="483">
        <f>IF(ISNUMBER(Datos!R17),Datos!R17," - ")</f>
        <v>17</v>
      </c>
      <c r="AF17" s="228" t="str">
        <f>IF(ISNUMBER(Datos!BV17),Datos!BV17," - ")</f>
        <v xml:space="preserve"> - </v>
      </c>
      <c r="AG17" s="224" t="str">
        <f>IF(ISNUMBER(Datos!DV17),Datos!DV17," - ")</f>
        <v xml:space="preserve"> - </v>
      </c>
      <c r="AH17" s="297"/>
      <c r="AI17" s="226"/>
      <c r="AJ17" s="224">
        <f>IF(ISNUMBER(Datos!M17),Datos!M17," - ")</f>
        <v>205</v>
      </c>
      <c r="AK17" s="228">
        <f>IF(ISNUMBER(Datos!N17),Datos!N17," - ")</f>
        <v>686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0.91195372750642678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1328</v>
      </c>
      <c r="G18" s="897">
        <f>SUBTOTAL(9,G15:G17)</f>
        <v>1359</v>
      </c>
      <c r="H18" s="931">
        <f>SUBTOTAL(9,H15:H17)</f>
        <v>0</v>
      </c>
      <c r="I18" s="910">
        <f>SUBTOTAL(9,I15:I17)</f>
        <v>0</v>
      </c>
      <c r="J18" s="866">
        <f>SUBTOTAL(9,J14:J17)</f>
        <v>0</v>
      </c>
      <c r="K18" s="931">
        <f t="shared" ref="K18:S18" si="4">SUBTOTAL(9,K15:K17)</f>
        <v>0</v>
      </c>
      <c r="L18" s="931">
        <f t="shared" si="4"/>
        <v>0</v>
      </c>
      <c r="M18" s="931">
        <f t="shared" si="4"/>
        <v>0</v>
      </c>
      <c r="N18" s="931">
        <f t="shared" si="4"/>
        <v>1075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11586</v>
      </c>
      <c r="Z18" s="931">
        <f t="shared" si="5"/>
        <v>1248</v>
      </c>
      <c r="AA18" s="931">
        <f t="shared" si="5"/>
        <v>1751</v>
      </c>
      <c r="AB18" s="931">
        <f t="shared" si="5"/>
        <v>0</v>
      </c>
      <c r="AC18" s="931">
        <f t="shared" si="5"/>
        <v>0</v>
      </c>
      <c r="AD18" s="931">
        <f t="shared" si="5"/>
        <v>0</v>
      </c>
      <c r="AE18" s="931">
        <f t="shared" si="5"/>
        <v>451</v>
      </c>
      <c r="AF18" s="931">
        <f t="shared" si="5"/>
        <v>0</v>
      </c>
      <c r="AG18" s="931">
        <f t="shared" si="5"/>
        <v>0</v>
      </c>
      <c r="AH18" s="931">
        <f t="shared" si="5"/>
        <v>0</v>
      </c>
      <c r="AI18" s="931">
        <f t="shared" si="5"/>
        <v>0</v>
      </c>
      <c r="AJ18" s="931">
        <f t="shared" si="5"/>
        <v>2569</v>
      </c>
      <c r="AK18" s="931">
        <f t="shared" si="5"/>
        <v>5856</v>
      </c>
      <c r="AL18" s="931">
        <f t="shared" si="5"/>
        <v>0</v>
      </c>
      <c r="AM18" s="931">
        <f t="shared" si="5"/>
        <v>0</v>
      </c>
      <c r="AN18" s="931">
        <f t="shared" si="5"/>
        <v>0</v>
      </c>
      <c r="AO18" s="933">
        <f>IF(ISNUMBER(((NºAsuntos!I18/NºAsuntos!G18)*11)/factor_trimestre),((NºAsuntos!I18/NºAsuntos!G18)*11)/factor_trimestre," - ")</f>
        <v>1.6624374244778179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20</v>
      </c>
      <c r="F19" s="819">
        <f t="shared" si="7"/>
        <v>1387</v>
      </c>
      <c r="G19" s="819">
        <f t="shared" si="7"/>
        <v>1418</v>
      </c>
      <c r="H19" s="820">
        <f t="shared" si="7"/>
        <v>0</v>
      </c>
      <c r="I19" s="819">
        <f t="shared" si="7"/>
        <v>0</v>
      </c>
      <c r="J19" s="821">
        <f t="shared" si="7"/>
        <v>0</v>
      </c>
      <c r="K19" s="819">
        <f t="shared" si="7"/>
        <v>0</v>
      </c>
      <c r="L19" s="822">
        <f t="shared" si="7"/>
        <v>0</v>
      </c>
      <c r="M19" s="819">
        <f t="shared" si="7"/>
        <v>0</v>
      </c>
      <c r="N19" s="820">
        <f t="shared" si="7"/>
        <v>6401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11736</v>
      </c>
      <c r="Z19" s="826">
        <f t="shared" si="8"/>
        <v>7175</v>
      </c>
      <c r="AA19" s="827">
        <f t="shared" si="8"/>
        <v>1794</v>
      </c>
      <c r="AB19" s="827">
        <f t="shared" si="8"/>
        <v>0</v>
      </c>
      <c r="AC19" s="827">
        <f t="shared" si="8"/>
        <v>0</v>
      </c>
      <c r="AD19" s="828">
        <f t="shared" si="8"/>
        <v>0</v>
      </c>
      <c r="AE19" s="828">
        <f t="shared" si="8"/>
        <v>14199</v>
      </c>
      <c r="AF19" s="829">
        <f t="shared" si="8"/>
        <v>0</v>
      </c>
      <c r="AG19" s="830">
        <f t="shared" si="8"/>
        <v>0</v>
      </c>
      <c r="AH19" s="831">
        <f t="shared" si="8"/>
        <v>0</v>
      </c>
      <c r="AI19" s="829">
        <f t="shared" si="8"/>
        <v>0</v>
      </c>
      <c r="AJ19" s="819">
        <f t="shared" si="8"/>
        <v>9051</v>
      </c>
      <c r="AK19" s="819">
        <f t="shared" si="8"/>
        <v>11984</v>
      </c>
      <c r="AL19" s="819">
        <f t="shared" si="8"/>
        <v>0</v>
      </c>
      <c r="AM19" s="832">
        <f t="shared" si="8"/>
        <v>0</v>
      </c>
      <c r="AN19" s="822">
        <f>IF(ISNUMBER(Datos!K19/Datos!J19),Datos!K19/Datos!J19," - ")</f>
        <v>1.0945557641469676</v>
      </c>
      <c r="AO19" s="822">
        <f>IF(ISNUMBER(FIND("06",Criterios!A8,1)),(IF(ISNUMBER(((Datos!R19/Datos!Q19)*11)/factor_trimestre),((Datos!R19/Datos!Q19)*11)/factor_trimestre," - ")),(IF(ISNUMBER(((Datos!L19/Datos!K19)*11)/factor_trimestre),((Datos!L19/Datos!K19)*11)/factor_trimestre," - ")))</f>
        <v>3.0941230004550389</v>
      </c>
      <c r="AP19" s="833" t="str">
        <f>IF(ISNUMBER(Datos!CI19/Datos!CJ19),Datos!CI19/Datos!CJ19," - ")</f>
        <v xml:space="preserve"> - </v>
      </c>
      <c r="AQ19" s="833">
        <f>IF(OR(ISNUMBER(FIND("01",Criterios!A8,1)),ISNUMBER(FIND("02",Criterios!A8,1)),ISNUMBER(FIND("03",Criterios!A8,1)),ISNUMBER(FIND("04",Criterios!A8,1))),(J19-Y19+K19)/(F19-K19),(I19-Y19+K19)/(F19-K19))</f>
        <v>-8.4614275414563807</v>
      </c>
      <c r="AR19" s="833">
        <f>IF(ISNUMBER((Datos!P19-Datos!Q19+O19)/(Datos!R19-Datos!P19+Datos!Q19-O19)),(Datos!P19-Datos!Q19+O19)/(Datos!R19-Datos!P19+Datos!Q19-O19)," - ")</f>
        <v>-5.1693047485473854E-2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567.20000000000005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732.65749160163512</v>
      </c>
      <c r="G21" s="551">
        <f>IF(ISNUMBER(STDEV(G8:G18)),STDEV(G8:G18),"-")</f>
        <v>681.728831721235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2600.0152563654956</v>
      </c>
      <c r="AK21" s="251"/>
      <c r="AL21" s="251">
        <f>IF(ISNUMBER(STDEV(AL8:AL18)),STDEV(AL8:AL18),"-")</f>
        <v>0</v>
      </c>
      <c r="AM21" s="253">
        <f>IF(ISNUMBER(STDEV(AM8:AM18)),STDEV(AM8:AM18),"-")</f>
        <v>0</v>
      </c>
      <c r="AN21" s="538">
        <f>IF(ISNUMBER(STDEV(AN8:AN18)),STDEV(AN8:AN18),"-")</f>
        <v>0</v>
      </c>
      <c r="AO21" s="539">
        <f>IF(ISNUMBER(STDEV(AO8:AO18)),STDEV(AO8:AO18),"-")</f>
        <v>1.1863027333664726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c2+6AzA/DU0oY/7cjrLj10Vm4MqxWfRvT0oG4a+zGHuuBJ9PLqCHE3amwizNjt3UhCeL49OHHkZIGCjK0oeMTg==" saltValue="MtPI0fqAKSkxkdrhBo9N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2uSz/uHIehWiyOn/fOh4nii6gKcSwMGKsLR3P+MyuBk2EVoyVZg19k/sBNkBECdZtyxXvJSLk/s85RvLs+s+NA==" saltValue="YSydM17p4Wb0phhAy/Tg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K7bqLGcPyjRfNJM84x/SlB6GgrI1JA2aNwTyjRgJ8YPEK7N5sncAXxufGrcOmKrFNDARdfT/Urhbg++LM0KrQ==" saltValue="4gPz7nIqTN8o4fcxD4SoU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SANTANDER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0.3323591242372968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0.2350133905374148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lwmRzeqCQ7YCuLc4QBXyYeS/09h9HdzqeHYqqs+0j8rXRegqRjsg8gp3yejnH7IYMCl5cG22Rk2ju3Pas2Dm1w==" saltValue="XsUZRr5JHxWOQ1yQbGy2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gXRKePQY0kuShAyMkoF4vNg9894iWei17nr4DL2/9XuFU6Rsonvw4fv58q1p3vYcmfS1wYUEeFu3iCd+3nePw==" saltValue="/Lo/LvCn9O1RUPUXVk6s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SANTANDER</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11</v>
      </c>
      <c r="C9" s="402">
        <f>IF(ISNUMBER(IF(J_V="SI",Datos!I9,Datos!I9+Datos!Y9)),IF(J_V="SI",Datos!I9,Datos!I9+Datos!Y9)," - ")</f>
        <v>7890</v>
      </c>
      <c r="D9" s="403">
        <f>IF(ISNUMBER(C9/Datos!BH9),C9/Datos!BH9," - ")</f>
        <v>717.27272727272725</v>
      </c>
      <c r="E9" s="402">
        <f>IF(ISNUMBER(IF(J_V="SI",Datos!J9,Datos!J9+Datos!Z9)),IF(J_V="SI",Datos!J9,Datos!J9+Datos!Z9)," - ")</f>
        <v>14374</v>
      </c>
      <c r="F9" s="403">
        <f>IF(ISNUMBER(E9/B9),E9/B9," - ")</f>
        <v>1306.7272727272727</v>
      </c>
      <c r="G9" s="402">
        <f>IF(ISNUMBER(IF(J_V="SI",Datos!K9,Datos!K9+Datos!AA9)),IF(J_V="SI",Datos!K9,Datos!K9+Datos!AA9)," - ")</f>
        <v>16764</v>
      </c>
      <c r="H9" s="403">
        <f>IF(ISNUMBER(G9/B9),G9/B9," - ")</f>
        <v>1524</v>
      </c>
      <c r="I9" s="402">
        <f>IF(ISNUMBER(IF(J_V="SI",Datos!L9,Datos!L9+Datos!AB9)),IF(J_V="SI",Datos!L9,Datos!L9+Datos!AB9)," - ")</f>
        <v>6207</v>
      </c>
      <c r="J9" s="403">
        <f>IF(ISNUMBER(I9/B9),I9/B9," - ")</f>
        <v>564.27272727272725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59</v>
      </c>
      <c r="D10" s="403">
        <f>IF(ISNUMBER(C10/Datos!BH10),C10/Datos!BH10," - ")</f>
        <v>59</v>
      </c>
      <c r="E10" s="402">
        <f>IF(ISNUMBER(Datos!J10),Datos!J10," - ")</f>
        <v>134</v>
      </c>
      <c r="F10" s="403">
        <f>IF(ISNUMBER(E10/B10),E10/B10," - ")</f>
        <v>134</v>
      </c>
      <c r="G10" s="402">
        <f>IF(ISNUMBER(Datos!K10),Datos!K10," - ")</f>
        <v>150</v>
      </c>
      <c r="H10" s="403">
        <f>IF(ISNUMBER(G10/B10),G10/B10," - ")</f>
        <v>150</v>
      </c>
      <c r="I10" s="402">
        <f>IF(ISNUMBER(Datos!L10),Datos!L10," - ")</f>
        <v>43</v>
      </c>
      <c r="J10" s="403">
        <f>IF(ISNUMBER(I10/B10),I10/B10," - ")</f>
        <v>43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742</v>
      </c>
      <c r="D11" s="403">
        <f>IF(ISNUMBER(C11/Datos!BH11),C11/Datos!BH11," - ")</f>
        <v>371</v>
      </c>
      <c r="E11" s="402">
        <f>IF(ISNUMBER(IF(J_V="SI",Datos!J11,Datos!J11+Datos!Z11)),IF(J_V="SI",Datos!J11,Datos!J11+Datos!Z11)," - ")</f>
        <v>2404</v>
      </c>
      <c r="F11" s="403">
        <f>IF(ISNUMBER(E11/B11),E11/B11," - ")</f>
        <v>1202</v>
      </c>
      <c r="G11" s="402">
        <f>IF(ISNUMBER(IF(J_V="SI",Datos!K11,Datos!K11+Datos!AA11)),IF(J_V="SI",Datos!K11,Datos!K11+Datos!AA11)," - ")</f>
        <v>2589</v>
      </c>
      <c r="H11" s="403">
        <f>IF(ISNUMBER(G11/B11),G11/B11," - ")</f>
        <v>1294.5</v>
      </c>
      <c r="I11" s="402">
        <f>IF(ISNUMBER(IF(J_V="SI",Datos!L11,Datos!L11+Datos!AB11)),IF(J_V="SI",Datos!L11,Datos!L11+Datos!AB11)," - ")</f>
        <v>557</v>
      </c>
      <c r="J11" s="403">
        <f>IF(ISNUMBER(I11/B11),I11/B11," - ")</f>
        <v>278.5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14</v>
      </c>
      <c r="C13" s="848">
        <f>SUBTOTAL(9,C8:C12)</f>
        <v>8691</v>
      </c>
      <c r="D13" s="849" t="str">
        <f>IF(ISNUMBER(C13/Datos!BI13),C13/Datos!BI13," - ")</f>
        <v xml:space="preserve"> - </v>
      </c>
      <c r="E13" s="848">
        <f>SUBTOTAL(9,E8:E12)</f>
        <v>16912</v>
      </c>
      <c r="F13" s="849">
        <f>IF(ISNUMBER(E13/B13),E13/B13," - ")</f>
        <v>1208</v>
      </c>
      <c r="G13" s="848">
        <f>SUBTOTAL(9,G8:G12)</f>
        <v>19503</v>
      </c>
      <c r="H13" s="849">
        <f>IF(ISNUMBER(G13/B13),G13/B13," - ")</f>
        <v>1393.0714285714287</v>
      </c>
      <c r="I13" s="848">
        <f>SUBTOTAL(9,I8:I12)</f>
        <v>6807</v>
      </c>
      <c r="J13" s="849">
        <f>IF(ISNUMBER(I13/B13),I13/B13," - ")</f>
        <v>486.21428571428572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1267</v>
      </c>
      <c r="D15" s="403">
        <f>IF(ISNUMBER(C15/Datos!BH15),C15/Datos!BH15," - ")</f>
        <v>253.4</v>
      </c>
      <c r="E15" s="402">
        <f>IF(ISNUMBER(IF(D_I="SI",Datos!J15,Datos!J15+Datos!AD15)),IF(D_I="SI",Datos!J15,Datos!J15+Datos!AD15)," - ")</f>
        <v>10324</v>
      </c>
      <c r="F15" s="403">
        <f>IF(ISNUMBER(E15/B15),E15/B15," - ")</f>
        <v>2064.8000000000002</v>
      </c>
      <c r="G15" s="402">
        <f>IF(ISNUMBER(IF(D_I="SI",Datos!K15,Datos!K15+Datos!AE15)),IF(D_I="SI",Datos!K15,Datos!K15+Datos!AE15)," - ")</f>
        <v>10030</v>
      </c>
      <c r="H15" s="403">
        <f>IF(ISNUMBER(G15/B15),G15/B15," - ")</f>
        <v>2006</v>
      </c>
      <c r="I15" s="402">
        <f>IF(ISNUMBER(IF(D_I="SI",Datos!L15,Datos!L15+Datos!AF15)),IF(D_I="SI",Datos!L15,Datos!L15+Datos!AF15)," - ")</f>
        <v>1622</v>
      </c>
      <c r="J15" s="403">
        <f>IF(ISNUMBER(I15/B15),I15/B15," - ")</f>
        <v>324.39999999999998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92</v>
      </c>
      <c r="D17" s="403">
        <f>IF(ISNUMBER(C17/Datos!BH17),C17/Datos!BH17," - ")</f>
        <v>92</v>
      </c>
      <c r="E17" s="402">
        <f>IF(ISNUMBER(IF(D_I="SI",Datos!J17,Datos!J17+Datos!AD17)),IF(D_I="SI",Datos!J17,Datos!J17+Datos!AD17)," - ")</f>
        <v>1593</v>
      </c>
      <c r="F17" s="403">
        <f>IF(ISNUMBER(E17/B17),E17/B17," - ")</f>
        <v>1593</v>
      </c>
      <c r="G17" s="402">
        <f>IF(ISNUMBER(IF(D_I="SI",Datos!K17,Datos!K17+Datos!AE17)),IF(D_I="SI",Datos!K17,Datos!K17+Datos!AE17)," - ")</f>
        <v>1556</v>
      </c>
      <c r="H17" s="403">
        <f>IF(ISNUMBER(G17/B17),G17/B17," - ")</f>
        <v>1556</v>
      </c>
      <c r="I17" s="402">
        <f>IF(ISNUMBER(IF(D_I="SI",Datos!L17,Datos!L17+Datos!AF17)),IF(D_I="SI",Datos!L17,Datos!L17+Datos!AF17)," - ")</f>
        <v>129</v>
      </c>
      <c r="J17" s="403">
        <f>IF(ISNUMBER(I17/B17),I17/B17," - ")</f>
        <v>129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1359</v>
      </c>
      <c r="D18" s="849" t="str">
        <f>IF(ISNUMBER(C18/Datos!BI18),C18/Datos!BI18," - ")</f>
        <v xml:space="preserve"> - </v>
      </c>
      <c r="E18" s="848">
        <f>SUBTOTAL(9,E14:E17)</f>
        <v>11917</v>
      </c>
      <c r="F18" s="849">
        <f>IF(ISNUMBER(E18/B18),E18/B18," - ")</f>
        <v>1986.1666666666667</v>
      </c>
      <c r="G18" s="848">
        <f>SUBTOTAL(9,G14:G17)</f>
        <v>11586</v>
      </c>
      <c r="H18" s="849">
        <f>IF(ISNUMBER(G18/B18),G18/B18," - ")</f>
        <v>1931</v>
      </c>
      <c r="I18" s="848">
        <f>SUBTOTAL(9,I14:I17)</f>
        <v>1751</v>
      </c>
      <c r="J18" s="849">
        <f>IF(ISNUMBER(I18/B18),I18/B18," - ")</f>
        <v>291.83333333333331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19</v>
      </c>
      <c r="C19" s="793">
        <f>SUBTOTAL(9,C9:C18)</f>
        <v>10050</v>
      </c>
      <c r="D19" s="794" t="str">
        <f>IF(ISNUMBER(C19/Datos!BI19),C19/Datos!BI19," - ")</f>
        <v xml:space="preserve"> - </v>
      </c>
      <c r="E19" s="793">
        <f>SUBTOTAL(9,E9:E18)</f>
        <v>28829</v>
      </c>
      <c r="F19" s="794">
        <f>IF(ISNUMBER(E19/B19),E19/B19," - ")</f>
        <v>1517.3157894736842</v>
      </c>
      <c r="G19" s="793">
        <f>SUBTOTAL(9,G9:G18)</f>
        <v>31089</v>
      </c>
      <c r="H19" s="794">
        <f>IF(ISNUMBER(G19/B19),G19/B19," - ")</f>
        <v>1636.2631578947369</v>
      </c>
      <c r="I19" s="793">
        <f>SUBTOTAL(9,I9:I18)</f>
        <v>8558</v>
      </c>
      <c r="J19" s="794">
        <f>IF(ISNUMBER(I19/B19),I19/B19," - ")</f>
        <v>450.42105263157896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k479SlyLDrTTOdbeEod2NrVtgzS1MUgCKMY5TEuYUhuXCqI5DAHQ5yFsl1nW3m1qGl15DVBMZCCXjbDOhM7NGg==" saltValue="hwt9FSp2ceATVdo3dPEU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SANTANDER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11</v>
      </c>
      <c r="B9" s="500" t="s">
        <v>246</v>
      </c>
      <c r="C9" s="159" t="str">
        <f>Datos!A9</f>
        <v xml:space="preserve">Jdos. 1ª Instancia   </v>
      </c>
      <c r="D9" s="501"/>
      <c r="E9" s="681">
        <f>IF(ISNUMBER(Datos!AQ9),Datos!AQ9," - ")</f>
        <v>11</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59</v>
      </c>
      <c r="G10" s="683">
        <f>IF(ISNUMBER(Datos!I10),Datos!I10," - ")</f>
        <v>59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150</v>
      </c>
      <c r="AC10" s="682" t="str">
        <f>IF(ISNUMBER(IF(D_I="SI",DatosP!K17,DatosP!K17+DatosP!AE17)),IF(D_I="SI",DatosP!K17,DatosP!K17+DatosP!AE17)," - ")</f>
        <v xml:space="preserve"> - </v>
      </c>
      <c r="AD10" s="684"/>
      <c r="AE10" s="684"/>
      <c r="AF10" s="687">
        <f>IF(ISNUMBER(Datos!L10),Datos!L10,"-")</f>
        <v>43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67</v>
      </c>
      <c r="AM10" s="689">
        <f>IF(ISNUMBER(Datos!N10+DatosP!N17),Datos!N10+DatosP!N17," - ")</f>
        <v>59</v>
      </c>
      <c r="AN10" s="689">
        <f>IF(ISNUMBER(Datos!BW10+DatosP!BW17),Datos!BW10+DatosP!BW17," - ")</f>
        <v>0</v>
      </c>
      <c r="AO10" s="690">
        <f>IF(ISNUMBER(Datos!BX10+DatosP!BX17),Datos!BX10+DatosP!BX17," - ")</f>
        <v>0</v>
      </c>
      <c r="AP10" s="692">
        <f>IF(ISNUMBER(((Datos!L10/Datos!K10)*11)/factor_trimestre),((Datos!L10/Datos!K10)*11)/factor_trimestre," - ")</f>
        <v>3.1533333333333333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14</v>
      </c>
      <c r="F13" s="937">
        <f t="shared" si="0"/>
        <v>59</v>
      </c>
      <c r="G13" s="937">
        <f t="shared" si="0"/>
        <v>59</v>
      </c>
      <c r="H13" s="937">
        <f t="shared" si="0"/>
        <v>0</v>
      </c>
      <c r="I13" s="939">
        <f t="shared" si="0"/>
        <v>0</v>
      </c>
      <c r="J13" s="938">
        <f t="shared" si="0"/>
        <v>0</v>
      </c>
      <c r="K13" s="938">
        <f t="shared" si="0"/>
        <v>0</v>
      </c>
      <c r="L13" s="940">
        <f t="shared" si="0"/>
        <v>0</v>
      </c>
      <c r="M13" s="940">
        <f t="shared" si="0"/>
        <v>0</v>
      </c>
      <c r="N13" s="938">
        <f t="shared" si="0"/>
        <v>69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150</v>
      </c>
      <c r="AC13" s="938">
        <f t="shared" si="1"/>
        <v>0</v>
      </c>
      <c r="AD13" s="938">
        <f t="shared" si="1"/>
        <v>0</v>
      </c>
      <c r="AE13" s="938">
        <f t="shared" si="1"/>
        <v>0</v>
      </c>
      <c r="AF13" s="938">
        <f t="shared" si="1"/>
        <v>43</v>
      </c>
      <c r="AG13" s="938">
        <f t="shared" si="1"/>
        <v>0</v>
      </c>
      <c r="AH13" s="938">
        <f t="shared" si="1"/>
        <v>0</v>
      </c>
      <c r="AI13" s="938">
        <f t="shared" si="1"/>
        <v>0</v>
      </c>
      <c r="AJ13" s="938">
        <f t="shared" si="1"/>
        <v>0</v>
      </c>
      <c r="AK13" s="938">
        <f t="shared" si="1"/>
        <v>0</v>
      </c>
      <c r="AL13" s="938">
        <f t="shared" si="1"/>
        <v>67</v>
      </c>
      <c r="AM13" s="938">
        <f t="shared" si="1"/>
        <v>59</v>
      </c>
      <c r="AN13" s="938">
        <f t="shared" si="1"/>
        <v>0</v>
      </c>
      <c r="AO13" s="938">
        <f t="shared" si="1"/>
        <v>0</v>
      </c>
      <c r="AP13" s="943">
        <f>IF(ISNUMBER(((Datos!L13/Datos!K13)*11)/factor_trimestre),((Datos!L13/Datos!K13)*11)/factor_trimestre," - ")</f>
        <v>4.0708355414237767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-2.5423728813559321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1.6624374244778179</v>
      </c>
      <c r="AQ18" s="943">
        <f>IF(ISNUMBER(((Datos!M18/Datos!L18)*11)/factor_trimestre),((Datos!M18/Datos!L18)*11)/factor_trimestre," - ")</f>
        <v>16.138777841233583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-0.27724358974358976</v>
      </c>
      <c r="AW18" s="945">
        <f>IF(ISNUMBER((Datos!Q18-Datos!R18)/(Datos!S18-Datos!Q18+Datos!R18)),(Datos!Q18-Datos!R18)/(Datos!S18-Datos!Q18+Datos!R18)," - ")</f>
        <v>0.93434935521688156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14</v>
      </c>
      <c r="F19" s="950">
        <f t="shared" si="4"/>
        <v>59</v>
      </c>
      <c r="G19" s="950">
        <f t="shared" si="4"/>
        <v>59</v>
      </c>
      <c r="H19" s="950">
        <f t="shared" si="4"/>
        <v>0</v>
      </c>
      <c r="I19" s="951">
        <f t="shared" si="4"/>
        <v>0</v>
      </c>
      <c r="J19" s="952">
        <f t="shared" si="4"/>
        <v>0</v>
      </c>
      <c r="K19" s="952">
        <f t="shared" si="4"/>
        <v>0</v>
      </c>
      <c r="L19" s="952">
        <f t="shared" si="4"/>
        <v>0</v>
      </c>
      <c r="M19" s="952">
        <f t="shared" si="4"/>
        <v>0</v>
      </c>
      <c r="N19" s="951">
        <f t="shared" si="4"/>
        <v>69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150</v>
      </c>
      <c r="AC19" s="956">
        <f t="shared" si="5"/>
        <v>0</v>
      </c>
      <c r="AD19" s="956">
        <f t="shared" si="5"/>
        <v>0</v>
      </c>
      <c r="AE19" s="956">
        <f t="shared" si="5"/>
        <v>0</v>
      </c>
      <c r="AF19" s="957">
        <f t="shared" si="5"/>
        <v>43</v>
      </c>
      <c r="AG19" s="957">
        <f t="shared" si="5"/>
        <v>0</v>
      </c>
      <c r="AH19" s="957">
        <f t="shared" si="5"/>
        <v>0</v>
      </c>
      <c r="AI19" s="957">
        <f t="shared" si="5"/>
        <v>0</v>
      </c>
      <c r="AJ19" s="958">
        <f t="shared" si="5"/>
        <v>0</v>
      </c>
      <c r="AK19" s="958">
        <f t="shared" si="5"/>
        <v>0</v>
      </c>
      <c r="AL19" s="950">
        <f t="shared" si="5"/>
        <v>67</v>
      </c>
      <c r="AM19" s="950">
        <f t="shared" si="5"/>
        <v>59</v>
      </c>
      <c r="AN19" s="950">
        <f t="shared" si="5"/>
        <v>0</v>
      </c>
      <c r="AO19" s="950">
        <f t="shared" si="5"/>
        <v>0</v>
      </c>
      <c r="AP19" s="950">
        <f>IF(ISNUMBER(((Datos!L19/Datos!K19)*11)/factor_trimestre),((Datos!L19/Datos!K19)*11)/factor_trimestre," - ")</f>
        <v>3.0941230004550389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-2.5423728813559321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-5.1693047485473854E-2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39.333333333333336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6.1860057118197576</v>
      </c>
      <c r="F21" s="735">
        <f>IF(ISNUMBER(STDEV(F8:F18)),STDEV(F8:F18),"-")</f>
        <v>34.063665882187919</v>
      </c>
      <c r="G21" s="736">
        <f>IF(ISNUMBER(STDEV(G8:G18)),STDEV(G8:G18),"-")</f>
        <v>34.063665882187919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86.602540378443862</v>
      </c>
      <c r="AC21" s="737">
        <f>IF(ISNUMBER(STDEV(AC8:AC18)),STDEV(AC8:AC18),"-")</f>
        <v>0</v>
      </c>
      <c r="AD21" s="740"/>
      <c r="AE21" s="740"/>
      <c r="AF21" s="740"/>
      <c r="AG21" s="740"/>
      <c r="AH21" s="740"/>
      <c r="AI21" s="740"/>
      <c r="AJ21" s="741">
        <f>IF(ISNUMBER(STDEV(AJ8:AJ18)),STDEV(AJ8:AJ18),"-")</f>
        <v>0</v>
      </c>
      <c r="AK21" s="743"/>
      <c r="AL21" s="735">
        <f>IF(ISNUMBER(STDEV(AL8:AL18)),STDEV(AL8:AL18),"-")</f>
        <v>38.682468035704929</v>
      </c>
      <c r="AM21" s="735"/>
      <c r="AN21" s="735">
        <f>IF(ISNUMBER(STDEV(AN8:AN18)),STDEV(AN8:AN18),"-")</f>
        <v>0</v>
      </c>
      <c r="AO21" s="741">
        <f>IF(ISNUMBER(STDEV(AO8:AO18)),STDEV(AO8:AO18),"-")</f>
        <v>0</v>
      </c>
      <c r="AP21" s="778">
        <f>IF(ISNUMBER(STDEV(AP8:AP18)),STDEV(AP8:AP18),"-")</f>
        <v>1.2155220005277443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HyWH/iLL1OpnU0s/H/tpDuhuic1Z+tcTVLI0vH1n1q2/XR8DXk1RYdC/cgzlB+eBgEKb/XOa5tSdlmyNFRMgMA==" saltValue="FumeK+7ykUJCM3L97AQa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SANTANDER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11</v>
      </c>
      <c r="D9" s="402">
        <f>Datos!BK9</f>
        <v>0</v>
      </c>
      <c r="E9" s="402">
        <f>Datos!AQ9</f>
        <v>11</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4MplzswjR0xdI0Ocpi47OF94svDIOEC5lH+Df8e48eVbGINQrEfvAxFIDwXiF3WNA/VuhBa1bSmf1yCAKebmcQ==" saltValue="YnrC313Fo18Vf2u1+Lyd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SANTANDER</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11</v>
      </c>
      <c r="C9" s="409">
        <f>Datos!AQ9</f>
        <v>11</v>
      </c>
      <c r="D9" s="402">
        <f>IF(ISNUMBER(Datos!M9),Datos!M9," - ")</f>
        <v>5712</v>
      </c>
      <c r="E9" s="403">
        <f t="shared" ref="E9:E13" si="0">IF(ISNUMBER(D9/B9),D9/B9," - ")</f>
        <v>519.27272727272725</v>
      </c>
      <c r="F9" s="402">
        <f>IF(ISNUMBER(Datos!N9),Datos!N9," - ")</f>
        <v>4510</v>
      </c>
      <c r="G9" s="403">
        <f t="shared" ref="G9:G13" si="1">IF(ISNUMBER(F9/B9),F9/B9," - ")</f>
        <v>410</v>
      </c>
      <c r="H9" s="402">
        <f>IF(ISNUMBER(Datos!O9),Datos!O9," - ")</f>
        <v>8317</v>
      </c>
      <c r="I9" s="403">
        <f>IF(ISNUMBER(H9/B9),H9/B9," - ")</f>
        <v>756.09090909090912</v>
      </c>
      <c r="BZ9" s="1185">
        <f>Datos!EZ9</f>
        <v>0</v>
      </c>
    </row>
    <row r="10" spans="1:78">
      <c r="A10" s="401" t="str">
        <f>Datos!A10</f>
        <v>Jdos. Violencia contra la mujer/Secc Viol. TI.</v>
      </c>
      <c r="B10" s="426">
        <f>Datos!AO10</f>
        <v>1</v>
      </c>
      <c r="C10" s="409">
        <f>Datos!AQ10</f>
        <v>1</v>
      </c>
      <c r="D10" s="402">
        <f>IF(ISNUMBER(Datos!M10),Datos!M10," - ")</f>
        <v>67</v>
      </c>
      <c r="E10" s="403">
        <f>IF(ISNUMBER(D10/B10),D10/B10," - ")</f>
        <v>67</v>
      </c>
      <c r="F10" s="402">
        <f>IF(ISNUMBER(Datos!N10),Datos!N10," - ")</f>
        <v>59</v>
      </c>
      <c r="G10" s="403">
        <f>IF(ISNUMBER(F10/B10),F10/B10," - ")</f>
        <v>59</v>
      </c>
      <c r="H10" s="402">
        <f>IF(ISNUMBER(Datos!O10),Datos!O10," - ")</f>
        <v>46</v>
      </c>
      <c r="I10" s="403">
        <f t="shared" ref="I10:I12" si="2">IF(ISNUMBER(H10/B10),H10/B10," - ")</f>
        <v>46</v>
      </c>
      <c r="BZ10" s="1185">
        <f>Datos!EZ10</f>
        <v>0</v>
      </c>
    </row>
    <row r="11" spans="1:78">
      <c r="A11" s="401" t="str">
        <f>Datos!A11</f>
        <v xml:space="preserve">Jdos. Familia                                   </v>
      </c>
      <c r="B11" s="426">
        <f>Datos!AO11</f>
        <v>2</v>
      </c>
      <c r="C11" s="409">
        <f>Datos!AQ11</f>
        <v>2</v>
      </c>
      <c r="D11" s="402">
        <f>IF(ISNUMBER(Datos!M11),Datos!M11," - ")</f>
        <v>703</v>
      </c>
      <c r="E11" s="403">
        <f t="shared" si="0"/>
        <v>351.5</v>
      </c>
      <c r="F11" s="402">
        <f>IF(ISNUMBER(Datos!N11),Datos!N11," - ")</f>
        <v>1559</v>
      </c>
      <c r="G11" s="403">
        <f t="shared" si="1"/>
        <v>779.5</v>
      </c>
      <c r="H11" s="402">
        <f>IF(ISNUMBER(Datos!O11),Datos!O11," - ")</f>
        <v>783</v>
      </c>
      <c r="I11" s="403">
        <f t="shared" si="2"/>
        <v>391.5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14</v>
      </c>
      <c r="C13" s="850">
        <f>Datos!AR13</f>
        <v>14</v>
      </c>
      <c r="D13" s="848">
        <f>SUBTOTAL(9,D9:D12)</f>
        <v>6482</v>
      </c>
      <c r="E13" s="849">
        <f t="shared" si="0"/>
        <v>463</v>
      </c>
      <c r="F13" s="848">
        <f>SUBTOTAL(9,F9:F12)</f>
        <v>6128</v>
      </c>
      <c r="G13" s="849">
        <f t="shared" si="1"/>
        <v>437.71428571428572</v>
      </c>
      <c r="H13" s="848">
        <f>SUBTOTAL(9,H9:H12)</f>
        <v>9146</v>
      </c>
      <c r="I13" s="849">
        <f>IF(ISNUMBER(H13/B13),H13/B13," - ")</f>
        <v>653.28571428571433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2364</v>
      </c>
      <c r="E15" s="403">
        <f t="shared" ref="E15:E18" si="3">IF(ISNUMBER(D15/B15),D15/B15," - ")</f>
        <v>472.8</v>
      </c>
      <c r="F15" s="402">
        <f>IF(ISNUMBER(Datos!N15),Datos!N15," - ")</f>
        <v>5170</v>
      </c>
      <c r="G15" s="403">
        <f t="shared" ref="G15:G18" si="4">IF(ISNUMBER(F15/B15),F15/B15," - ")</f>
        <v>1034</v>
      </c>
      <c r="H15" s="402">
        <f>IF(ISNUMBER(Datos!O15),Datos!O15," - ")</f>
        <v>796</v>
      </c>
      <c r="I15" s="403">
        <f t="shared" ref="I15:I17" si="5">IF(ISNUMBER(H15/B15),H15/B15," - ")</f>
        <v>159.19999999999999</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205</v>
      </c>
      <c r="E17" s="403">
        <f>IF(ISNUMBER(D17/B17),D17/B17," - ")</f>
        <v>205</v>
      </c>
      <c r="F17" s="402">
        <f>IF(ISNUMBER(Datos!N17),Datos!N17," - ")</f>
        <v>686</v>
      </c>
      <c r="G17" s="403">
        <f>IF(ISNUMBER(F17/B17),F17/B17," - ")</f>
        <v>686</v>
      </c>
      <c r="H17" s="402">
        <f>IF(ISNUMBER(Datos!O17),Datos!O17," - ")</f>
        <v>35</v>
      </c>
      <c r="I17" s="403">
        <f t="shared" si="5"/>
        <v>35</v>
      </c>
      <c r="BZ17" s="1185">
        <f>Datos!EZ17</f>
        <v>0</v>
      </c>
    </row>
    <row r="18" spans="1:78" ht="14.25" thickTop="1" thickBot="1">
      <c r="A18" s="847" t="str">
        <f>Datos!A18</f>
        <v>TOTAL</v>
      </c>
      <c r="B18" s="848">
        <f>Datos!AP18</f>
        <v>6</v>
      </c>
      <c r="C18" s="850">
        <f>Datos!AR18</f>
        <v>6</v>
      </c>
      <c r="D18" s="848">
        <f>SUBTOTAL(9,D15:D17)</f>
        <v>2569</v>
      </c>
      <c r="E18" s="849">
        <f t="shared" si="3"/>
        <v>428.16666666666669</v>
      </c>
      <c r="F18" s="848">
        <f>SUBTOTAL(9,F15:F17)</f>
        <v>5856</v>
      </c>
      <c r="G18" s="849">
        <f t="shared" si="4"/>
        <v>976</v>
      </c>
      <c r="H18" s="848">
        <f>SUBTOTAL(9,H15:H17)</f>
        <v>831</v>
      </c>
      <c r="I18" s="849">
        <f>IF(ISNUMBER(H18/B18),H18/B18," - ")</f>
        <v>138.5</v>
      </c>
      <c r="BZ18" s="1185"/>
    </row>
    <row r="19" spans="1:78" ht="14.25" thickTop="1" thickBot="1">
      <c r="A19" s="792" t="str">
        <f>Datos!A19</f>
        <v>TOTAL JURISDICCIONES</v>
      </c>
      <c r="B19" s="793">
        <f>Datos!AP19</f>
        <v>19</v>
      </c>
      <c r="C19" s="793">
        <f>Datos!AR19</f>
        <v>19</v>
      </c>
      <c r="D19" s="793">
        <f>SUBTOTAL(9,D8:D18)</f>
        <v>9051</v>
      </c>
      <c r="E19" s="794">
        <f>IF(ISNUMBER(D19/B19),D19/B19," - ")</f>
        <v>476.36842105263156</v>
      </c>
      <c r="F19" s="793">
        <f>SUBTOTAL(9,F8:F18)</f>
        <v>11984</v>
      </c>
      <c r="G19" s="794">
        <f>IF(ISNUMBER(F19/B19),F19/B19," - ")</f>
        <v>630.73684210526312</v>
      </c>
      <c r="H19" s="793">
        <f>SUBTOTAL(9,H8:H18)</f>
        <v>9977</v>
      </c>
      <c r="I19" s="794">
        <f>IF(ISNUMBER(H19/B19),H19/B19," - ")</f>
        <v>525.10526315789468</v>
      </c>
    </row>
    <row r="22" spans="1:78">
      <c r="A22" s="390" t="str">
        <f>Criterios!A4</f>
        <v>Fecha Informe: 18 mar. 2026</v>
      </c>
    </row>
    <row r="27" spans="1:78">
      <c r="A27" s="413"/>
    </row>
  </sheetData>
  <sheetProtection algorithmName="SHA-512" hashValue="PJ2FoDRCT7MIuEOfz1ELE3qezCMz4qA29l2kpyH5xnGUWxlZPyFyinox9eoH9OlVQRZLFvMltPrceoNp3u7f/A==" saltValue="9IQQwM9wnCruydFDwScZ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SANTANDER</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5010</v>
      </c>
      <c r="C9" s="433">
        <f>IF(ISNUMBER(Datos!Q9),Datos!Q9," - ")</f>
        <v>5560</v>
      </c>
      <c r="D9" s="407">
        <f>IF(ISNUMBER(Datos!R9),Datos!R9," - ")</f>
        <v>13008</v>
      </c>
    </row>
    <row r="10" spans="1:4">
      <c r="A10" s="401" t="str">
        <f>Datos!A10</f>
        <v>Jdos. Violencia contra la mujer/Secc Viol. TI.</v>
      </c>
      <c r="B10" s="432">
        <f>IF(ISNUMBER(Datos!P10),Datos!P10," - ")</f>
        <v>69</v>
      </c>
      <c r="C10" s="433">
        <f>IF(ISNUMBER(Datos!Q10),Datos!Q10," - ")</f>
        <v>36</v>
      </c>
      <c r="D10" s="407">
        <f>IF(ISNUMBER(Datos!R10),Datos!R10," - ")</f>
        <v>115</v>
      </c>
    </row>
    <row r="11" spans="1:4">
      <c r="A11" s="401" t="str">
        <f>Datos!A11</f>
        <v xml:space="preserve">Jdos. Familia                                   </v>
      </c>
      <c r="B11" s="432">
        <f>IF(ISNUMBER(Datos!P11),Datos!P11," - ")</f>
        <v>247</v>
      </c>
      <c r="C11" s="433">
        <f>IF(ISNUMBER(Datos!Q11),Datos!Q11," - ")</f>
        <v>331</v>
      </c>
      <c r="D11" s="407">
        <f>IF(ISNUMBER(Datos!R11),Datos!R11," - ")</f>
        <v>625</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5326</v>
      </c>
      <c r="C13" s="852">
        <f>SUBTOTAL(9,C9:C12)</f>
        <v>5927</v>
      </c>
      <c r="D13" s="850">
        <f>SUBTOTAL(9,D9:D12)</f>
        <v>13748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1035</v>
      </c>
      <c r="C15" s="433">
        <f>IF(ISNUMBER(Datos!Q15),Datos!Q15," - ")</f>
        <v>1213</v>
      </c>
      <c r="D15" s="407">
        <f>IF(ISNUMBER(Datos!R15),Datos!R15," - ")</f>
        <v>434</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40</v>
      </c>
      <c r="C17" s="433">
        <f>IF(ISNUMBER(Datos!Q17),Datos!Q17," - ")</f>
        <v>35</v>
      </c>
      <c r="D17" s="407">
        <f>IF(ISNUMBER(Datos!R17),Datos!R17," - ")</f>
        <v>17</v>
      </c>
    </row>
    <row r="18" spans="1:4" ht="14.25" thickTop="1" thickBot="1">
      <c r="A18" s="847" t="str">
        <f>Datos!A18</f>
        <v>TOTAL</v>
      </c>
      <c r="B18" s="848">
        <f>SUBTOTAL(9,B15:B17)</f>
        <v>1075</v>
      </c>
      <c r="C18" s="852">
        <f>SUBTOTAL(9,C15:C17)</f>
        <v>1248</v>
      </c>
      <c r="D18" s="850">
        <f>SUBTOTAL(9,D15:D17)</f>
        <v>451</v>
      </c>
    </row>
    <row r="19" spans="1:4" ht="16.5" customHeight="1" thickTop="1" thickBot="1">
      <c r="A19" s="792" t="str">
        <f>Datos!A19</f>
        <v>TOTAL JURISDICCIONES</v>
      </c>
      <c r="B19" s="797">
        <f>SUBTOTAL(9,B8:B18)</f>
        <v>6401</v>
      </c>
      <c r="C19" s="798">
        <f>SUBTOTAL(9,C8:C18)</f>
        <v>7175</v>
      </c>
      <c r="D19" s="799">
        <f>SUBTOTAL(9,D8:D18)</f>
        <v>14199</v>
      </c>
    </row>
    <row r="20" spans="1:4" ht="7.5" customHeight="1"/>
    <row r="21" spans="1:4" ht="6" customHeight="1"/>
    <row r="22" spans="1:4">
      <c r="A22" s="390" t="str">
        <f>Criterios!A4</f>
        <v>Fecha Informe: 18 mar. 2026</v>
      </c>
    </row>
    <row r="27" spans="1:4">
      <c r="A27" s="413"/>
    </row>
  </sheetData>
  <sheetProtection algorithmName="SHA-512" hashValue="zaYeycpFXNj30MmGCgG6qft6H8jsHdjq2EFkmliJlflMiThRSY5OR3/9+GdwJYUJzU0bV9vo/OI/T7dVYPpnsQ==" saltValue="SjABh/7/j4llYuGFaC+t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SANTANDER</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-0.15033383588197285</v>
      </c>
      <c r="C9" s="455">
        <f>IF(ISNUMBER(
   IF(J_V="SI",(Datos!J9-Datos!T9)/Datos!T9,(Datos!J9+Datos!Z9-(Datos!T9+Datos!AH9))/(Datos!T9+Datos!AH9))
     ),IF(J_V="SI",(Datos!J9-Datos!T9)/Datos!T9,(Datos!J9+Datos!Z9-(Datos!T9+Datos!AH9))/(Datos!T9+Datos!AH9))," - ")</f>
        <v>-0.29129277191598463</v>
      </c>
      <c r="D9" s="455">
        <f>IF(ISNUMBER(
   IF(J_V="SI",(Datos!K9-Datos!U9)/Datos!U9,(Datos!K9+Datos!AA9-(Datos!U9+Datos!AI9))/(Datos!U9+Datos!AI9))
     ),IF(J_V="SI",(Datos!K9-Datos!U9)/Datos!U9,(Datos!K9+Datos!AA9-(Datos!U9+Datos!AI9))/(Datos!U9+Datos!AI9))," - ")</f>
        <v>-0.23213631366801027</v>
      </c>
      <c r="E9" s="455">
        <f>IF(ISNUMBER(
   IF(J_V="SI",(Datos!L9-Datos!V9)/Datos!V9,(Datos!L9+Datos!AB9-(Datos!V9+Datos!AJ9))/(Datos!V9+Datos!AJ9))
     ),IF(J_V="SI",(Datos!L9-Datos!V9)/Datos!V9,(Datos!L9+Datos!AB9-(Datos!V9+Datos!AJ9))/(Datos!V9+Datos!AJ9))," - ")</f>
        <v>-0.21330798479087454</v>
      </c>
      <c r="F9" s="455">
        <f>IF(ISNUMBER((Datos!M9-Datos!W9)/Datos!W9),(Datos!M9-Datos!W9)/Datos!W9," - ")</f>
        <v>-0.18609290396124251</v>
      </c>
      <c r="G9" s="456">
        <f>IF(ISNUMBER((Datos!N9-Datos!X9)/Datos!X9),(Datos!N9-Datos!X9)/Datos!X9," - ")</f>
        <v>-0.31354642313546421</v>
      </c>
      <c r="H9" s="454">
        <f>IF(ISNUMBER(((NºAsuntos!G9/NºAsuntos!E9)-Datos!BD9)/Datos!BD9),((NºAsuntos!G9/NºAsuntos!E9)-Datos!BD9)/Datos!BD9," - ")</f>
        <v>8.3470939626089813E-2</v>
      </c>
      <c r="I9" s="455">
        <f>IF(ISNUMBER(((NºAsuntos!I9/NºAsuntos!G9)-Datos!BE9)/Datos!BE9),((NºAsuntos!I9/NºAsuntos!G9)-Datos!BE9)/Datos!BE9," - ")</f>
        <v>2.4520405395229559E-2</v>
      </c>
      <c r="J9" s="460">
        <f>IF(ISNUMBER((('Resol  Asuntos'!D9/NºAsuntos!G9)-Datos!BF9)/Datos!BF9),(('Resol  Asuntos'!D9/NºAsuntos!G9)-Datos!BF9)/Datos!BF9," - ")</f>
        <v>0.13224053718067313</v>
      </c>
      <c r="K9" s="461">
        <f>IF(ISNUMBER((((NºAsuntos!C9+NºAsuntos!E9)/NºAsuntos!G9)-Datos!BG9)/Datos!BG9),(((NºAsuntos!C9+NºAsuntos!E9)/NºAsuntos!G9)-Datos!BG9)/Datos!BG9," - ")</f>
        <v>-1.9388201474815566E-2</v>
      </c>
    </row>
    <row r="10" spans="1:11" ht="21">
      <c r="A10" s="401" t="str">
        <f>Datos!A10</f>
        <v>Jdos. Violencia contra la mujer/Secc Viol. TI.</v>
      </c>
      <c r="B10" s="454">
        <f>IF(ISNUMBER((Datos!I10-Datos!S10)/Datos!S10),(Datos!I10-Datos!S10)/Datos!S10," - ")</f>
        <v>0.13461538461538461</v>
      </c>
      <c r="C10" s="455">
        <f>IF(ISNUMBER((Datos!J10-Datos!T10)/Datos!T10),(Datos!J10-Datos!T10)/Datos!T10," - ")</f>
        <v>0</v>
      </c>
      <c r="D10" s="455">
        <f>IF(ISNUMBER((Datos!K10-Datos!U10)/Datos!U10),(Datos!K10-Datos!U10)/Datos!U10," - ")</f>
        <v>0.18110236220472442</v>
      </c>
      <c r="E10" s="455">
        <f>IF(ISNUMBER((Datos!L10-Datos!V10)/Datos!V10),(Datos!L10-Datos!V10)/Datos!V10," - ")</f>
        <v>-0.2711864406779661</v>
      </c>
      <c r="F10" s="455">
        <f>IF(ISNUMBER((Datos!M10-Datos!W10)/Datos!W10),(Datos!M10-Datos!W10)/Datos!W10," - ")</f>
        <v>8.0645161290322578E-2</v>
      </c>
      <c r="G10" s="456">
        <f>IF(ISNUMBER((Datos!N10-Datos!X10)/Datos!X10),(Datos!N10-Datos!X10)/Datos!X10," - ")</f>
        <v>-0.22368421052631579</v>
      </c>
      <c r="H10" s="454">
        <f>IF(ISNUMBER(((NºAsuntos!G10/NºAsuntos!E10)-Datos!BD10)/Datos!BD10),((NºAsuntos!G10/NºAsuntos!E10)-Datos!BD10)/Datos!BD10," - ")</f>
        <v>0.18110236220472437</v>
      </c>
      <c r="I10" s="455">
        <f>IF(ISNUMBER(((NºAsuntos!I10/NºAsuntos!G10)-Datos!BE10)/Datos!BE10),((NºAsuntos!I10/NºAsuntos!G10)-Datos!BE10)/Datos!BE10," - ")</f>
        <v>-0.38293785310734463</v>
      </c>
      <c r="J10" s="460">
        <f>IF(ISNUMBER((('Resol  Asuntos'!D10/NºAsuntos!G10)-Datos!BF10)/Datos!BF10),(('Resol  Asuntos'!D10/NºAsuntos!G10)-Datos!BF10)/Datos!BF10," - ")</f>
        <v>-8.5053763440860269E-2</v>
      </c>
      <c r="K10" s="461">
        <f>IF(ISNUMBER((((NºAsuntos!C10+NºAsuntos!E10)/NºAsuntos!G10)-Datos!BG10)/Datos!BG10),(((NºAsuntos!C10+NºAsuntos!E10)/NºAsuntos!G10)-Datos!BG10)/Datos!BG10," - ")</f>
        <v>-0.12146953405017928</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-0.25502008032128515</v>
      </c>
      <c r="C11" s="455">
        <f>IF(ISNUMBER(
   IF(J_V="SI",(Datos!J11-Datos!T11)/Datos!T11,(Datos!J11+Datos!Z11-(Datos!T11+Datos!AH11))/(Datos!T11+Datos!AH11))
     ),IF(J_V="SI",(Datos!J11-Datos!T11)/Datos!T11,(Datos!J11+Datos!Z11-(Datos!T11+Datos!AH11))/(Datos!T11+Datos!AH11))," - ")</f>
        <v>-6.5318818040435461E-2</v>
      </c>
      <c r="D11" s="455">
        <f>IF(ISNUMBER(
   IF(J_V="SI",(Datos!K11-Datos!U11)/Datos!U11,(Datos!K11+Datos!AA11-(Datos!U11+Datos!AI11))/(Datos!U11+Datos!AI11))
     ),IF(J_V="SI",(Datos!K11-Datos!U11)/Datos!U11,(Datos!K11+Datos!AA11-(Datos!U11+Datos!AI11))/(Datos!U11+Datos!AI11))," - ")</f>
        <v>-0.1013536966331135</v>
      </c>
      <c r="E11" s="455">
        <f>IF(ISNUMBER(
   IF(J_V="SI",(Datos!L11-Datos!V11)/Datos!V11,(Datos!L11+Datos!AB11-(Datos!V11+Datos!AJ11))/(Datos!V11+Datos!AJ11))
     ),IF(J_V="SI",(Datos!L11-Datos!V11)/Datos!V11,(Datos!L11+Datos!AB11-(Datos!V11+Datos!AJ11))/(Datos!V11+Datos!AJ11))," - ")</f>
        <v>-0.24932614555256064</v>
      </c>
      <c r="F11" s="455">
        <f>IF(ISNUMBER((Datos!M11-Datos!W11)/Datos!W11),(Datos!M11-Datos!W11)/Datos!W11," - ")</f>
        <v>-4.2234332425068119E-2</v>
      </c>
      <c r="G11" s="456">
        <f>IF(ISNUMBER((Datos!N11-Datos!X11)/Datos!X11),(Datos!N11-Datos!X11)/Datos!X11," - ")</f>
        <v>-7.806031933767002E-2</v>
      </c>
      <c r="H11" s="454">
        <f>IF(ISNUMBER(((NºAsuntos!G11/NºAsuntos!E11)-Datos!BD11)/Datos!BD11),((NºAsuntos!G11/NºAsuntos!E11)-Datos!BD11)/Datos!BD11," - ")</f>
        <v>-3.8553123020119817E-2</v>
      </c>
      <c r="I11" s="455">
        <f>IF(ISNUMBER(((NºAsuntos!I11/NºAsuntos!G11)-Datos!BE11)/Datos!BE11),((NºAsuntos!I11/NºAsuntos!G11)-Datos!BE11)/Datos!BE11," - ")</f>
        <v>-0.1646615007095123</v>
      </c>
      <c r="J11" s="460">
        <f>IF(ISNUMBER((('Resol  Asuntos'!D11/NºAsuntos!G11)-Datos!BF11)/Datos!BF11),(('Resol  Asuntos'!D11/NºAsuntos!G11)-Datos!BF11)/Datos!BF11," - ")</f>
        <v>-0.53738157546404186</v>
      </c>
      <c r="K11" s="461">
        <f>IF(ISNUMBER((((NºAsuntos!C11+NºAsuntos!E11)/NºAsuntos!G11)-Datos!BG11)/Datos!BG11),(((NºAsuntos!C11+NºAsuntos!E11)/NºAsuntos!G11)-Datos!BG11)/Datos!BG11," - ")</f>
        <v>-1.8828148409881774E-2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-0.15898974259725179</v>
      </c>
      <c r="C13" s="854">
        <f>IF(ISNUMBER(
   IF(J_V="SI",(Datos!J13-Datos!T13)/Datos!T13,(Datos!J13+Datos!Z13-(Datos!T13+Datos!AH13))/(Datos!T13+Datos!AH13))
     ),IF(J_V="SI",(Datos!J13-Datos!T13)/Datos!T13,(Datos!J13+Datos!Z13-(Datos!T13+Datos!AH13))/(Datos!T13+Datos!AH13))," - ")</f>
        <v>-0.26431181485992694</v>
      </c>
      <c r="D13" s="854">
        <f>IF(ISNUMBER(
   IF(J_V="SI",(Datos!K13-Datos!U13)/Datos!U13,(Datos!K13+Datos!AA13-(Datos!U13+Datos!AI13))/(Datos!U13+Datos!AI13))
     ),IF(J_V="SI",(Datos!K13-Datos!U13)/Datos!U13,(Datos!K13+Datos!AA13-(Datos!U13+Datos!AI13))/(Datos!U13+Datos!AI13))," - ")</f>
        <v>-0.21485507246376812</v>
      </c>
      <c r="E13" s="854">
        <f>IF(ISNUMBER(
   IF(J_V="SI",(Datos!L13-Datos!V13)/Datos!V13,(Datos!L13+Datos!AB13-(Datos!V13+Datos!AJ13))/(Datos!V13+Datos!AJ13))
     ),IF(J_V="SI",(Datos!L13-Datos!V13)/Datos!V13,(Datos!L13+Datos!AB13-(Datos!V13+Datos!AJ13))/(Datos!V13+Datos!AJ13))," - ")</f>
        <v>-0.21677597514670349</v>
      </c>
      <c r="F13" s="855">
        <f>IF(ISNUMBER((Datos!M13-Datos!W13)/Datos!W13),(Datos!M13-Datos!W13)/Datos!W13," - ")</f>
        <v>-0.17046327105195802</v>
      </c>
      <c r="G13" s="856">
        <f>IF(ISNUMBER((Datos!N13-Datos!X13)/Datos!X13),(Datos!N13-Datos!X13)/Datos!X13," - ")</f>
        <v>-0.26496341609691737</v>
      </c>
      <c r="H13" s="856">
        <f>IF(ISNUMBER(((NºAsuntos!G13/NºAsuntos!E13)-Datos!BD13)/Datos!BD13),((NºAsuntos!G13/NºAsuntos!E13)-Datos!BD13)/Datos!BD13," - ")</f>
        <v>6.7225141568288807E-2</v>
      </c>
      <c r="I13" s="856">
        <f>IF(ISNUMBER(((NºAsuntos!I13/NºAsuntos!G13)-Datos!BE13)/Datos!BE13),((NºAsuntos!I13/NºAsuntos!G13)-Datos!BE13)/Datos!BE13," - ")</f>
        <v>-2.4465581010160585E-3</v>
      </c>
      <c r="J13" s="856">
        <f>IF(ISNUMBER((('Resol  Asuntos'!D13/NºAsuntos!G13)-Datos!BF13)/Datos!BF13),(('Resol  Asuntos'!D13/NºAsuntos!G13)-Datos!BF13)/Datos!BF13," - ")</f>
        <v>-8.0739341518139517E-3</v>
      </c>
      <c r="K13" s="856">
        <f>IF(ISNUMBER((((NºAsuntos!C13+NºAsuntos!E13)/NºAsuntos!G13)-Datos!BG13)/Datos!BG13),(((NºAsuntos!C13+NºAsuntos!E13)/NºAsuntos!G13)-Datos!BG13)/Datos!BG13," - ")</f>
        <v>-2.138928435483475E-2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-0.18834080717488788</v>
      </c>
      <c r="C15" s="455">
        <f>IF(ISNUMBER(
   IF(D_I="SI",(Datos!J15-Datos!T15)/Datos!T15,(Datos!J15+Datos!AD15-(Datos!T15+Datos!AL15))/(Datos!T15+Datos!AL15))
     ),IF(D_I="SI",(Datos!J15-Datos!T15)/Datos!T15,(Datos!J15+Datos!AD15-(Datos!T15+Datos!AL15))/(Datos!T15+Datos!AL15))," - ")</f>
        <v>-3.12470676550624E-2</v>
      </c>
      <c r="D15" s="455">
        <f>IF(ISNUMBER(
   IF(D_I="SI",(Datos!K15-Datos!U15)/Datos!U15,(Datos!K15+Datos!AE15-(Datos!U15+Datos!AM15))/(Datos!U15+Datos!AM15))
     ),IF(D_I="SI",(Datos!K15-Datos!U15)/Datos!U15,(Datos!K15+Datos!AE15-(Datos!U15+Datos!AM15))/(Datos!U15+Datos!AM15))," - ")</f>
        <v>-9.3947606142728096E-2</v>
      </c>
      <c r="E15" s="455">
        <f>IF(ISNUMBER(
   IF(D_I="SI",(Datos!L15-Datos!V15)/Datos!V15,(Datos!L15+Datos!AF15-(Datos!V15+Datos!AN15))/(Datos!V15+Datos!AN15))
     ),IF(D_I="SI",(Datos!L15-Datos!V15)/Datos!V15,(Datos!L15+Datos!AF15-(Datos!V15+Datos!AN15))/(Datos!V15+Datos!AN15))," - ")</f>
        <v>0.28018942383583267</v>
      </c>
      <c r="F15" s="455">
        <f>IF(ISNUMBER((Datos!M15-Datos!W15)/Datos!W15),(Datos!M15-Datos!W15)/Datos!W15," - ")</f>
        <v>-6.671930517173312E-2</v>
      </c>
      <c r="G15" s="456">
        <f>IF(ISNUMBER((Datos!N15-Datos!X15)/Datos!X15),(Datos!N15-Datos!X15)/Datos!X15," - ")</f>
        <v>-7.6125804145818446E-2</v>
      </c>
      <c r="H15" s="454">
        <f>IF(ISNUMBER(((NºAsuntos!G15/NºAsuntos!E15)-Datos!BD15)/Datos!BD15),((NºAsuntos!G15/NºAsuntos!E15)-Datos!BD15)/Datos!BD15," - ")</f>
        <v>-6.4722940591151981E-2</v>
      </c>
      <c r="I15" s="455">
        <f>IF(ISNUMBER(((NºAsuntos!I15/NºAsuntos!G15)-Datos!BE15)/Datos!BE15),((NºAsuntos!I15/NºAsuntos!G15)-Datos!BE15)/Datos!BE15," - ")</f>
        <v>0.41293089948780337</v>
      </c>
      <c r="J15" s="460">
        <f>IF(ISNUMBER((('Resol  Asuntos'!D15/NºAsuntos!G15)-Datos!BF15)/Datos!BF15),(('Resol  Asuntos'!D15/NºAsuntos!G15)-Datos!BF15)/Datos!BF15," - ")</f>
        <v>3.0051574451536868E-2</v>
      </c>
      <c r="K15" s="461">
        <f>IF(ISNUMBER((((NºAsuntos!C15+NºAsuntos!E15)/NºAsuntos!G15)-Datos!BG15)/Datos!BG15),(((NºAsuntos!C15+NºAsuntos!E15)/NºAsuntos!G15)-Datos!BG15)/Datos!BG15," - ")</f>
        <v>4.7050124793405167E-2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3.3707865168539325E-2</v>
      </c>
      <c r="C17" s="455">
        <f>IF(ISNUMBER(
   IF(D_I="SI",(Datos!J17-Datos!T17)/Datos!T17,(Datos!J17+Datos!AD17-(Datos!T17+Datos!AL17))/(Datos!T17+Datos!AL17))
     ),IF(D_I="SI",(Datos!J17-Datos!T17)/Datos!T17,(Datos!J17+Datos!AD17-(Datos!T17+Datos!AL17))/(Datos!T17+Datos!AL17))," - ")</f>
        <v>4.9407114624505928E-2</v>
      </c>
      <c r="D17" s="455">
        <f>IF(ISNUMBER(
   IF(D_I="SI",(Datos!K17-Datos!U17)/Datos!U17,(Datos!K17+Datos!AE17-(Datos!U17+Datos!AM17))/(Datos!U17+Datos!AM17))
     ),IF(D_I="SI",(Datos!K17-Datos!U17)/Datos!U17,(Datos!K17+Datos!AE17-(Datos!U17+Datos!AM17))/(Datos!U17+Datos!AM17))," - ")</f>
        <v>2.3011176857330704E-2</v>
      </c>
      <c r="E17" s="455">
        <f>IF(ISNUMBER(
   IF(D_I="SI",(Datos!L17-Datos!V17)/Datos!V17,(Datos!L17+Datos!AF17-(Datos!V17+Datos!AN17))/(Datos!V17+Datos!AN17))
     ),IF(D_I="SI",(Datos!L17-Datos!V17)/Datos!V17,(Datos!L17+Datos!AF17-(Datos!V17+Datos!AN17))/(Datos!V17+Datos!AN17))," - ")</f>
        <v>0.40217391304347827</v>
      </c>
      <c r="F17" s="455">
        <f>IF(ISNUMBER((Datos!M17-Datos!W17)/Datos!W17),(Datos!M17-Datos!W17)/Datos!W17," - ")</f>
        <v>0.21301775147928995</v>
      </c>
      <c r="G17" s="456">
        <f>IF(ISNUMBER((Datos!N17-Datos!X17)/Datos!X17),(Datos!N17-Datos!X17)/Datos!X17," - ")</f>
        <v>2.2354694485842028E-2</v>
      </c>
      <c r="H17" s="454">
        <f>IF(ISNUMBER(((NºAsuntos!G17/NºAsuntos!E17)-Datos!BD17)/Datos!BD17),((NºAsuntos!G17/NºAsuntos!E17)-Datos!BD17)/Datos!BD17," - ")</f>
        <v>-2.5153191167967361E-2</v>
      </c>
      <c r="I17" s="455">
        <f>IF(ISNUMBER(((NºAsuntos!I17/NºAsuntos!G17)-Datos!BE17)/Datos!BE17),((NºAsuntos!I17/NºAsuntos!G17)-Datos!BE17)/Datos!BE17," - ")</f>
        <v>0.37063401140046942</v>
      </c>
      <c r="J17" s="460">
        <f>IF(ISNUMBER((('Resol  Asuntos'!D17/NºAsuntos!G17)-Datos!BF17)/Datos!BF17),(('Resol  Asuntos'!D17/NºAsuntos!G17)-Datos!BF17)/Datos!BF17," - ")</f>
        <v>0.18573264781491006</v>
      </c>
      <c r="K17" s="461">
        <f>IF(ISNUMBER((((NºAsuntos!C17+NºAsuntos!E17)/NºAsuntos!G17)-Datos!BG17)/Datos!BG17),(((NºAsuntos!C17+NºAsuntos!E17)/NºAsuntos!G17)-Datos!BG17)/Datos!BG17," - ")</f>
        <v>2.495228938944825E-2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-0.17636363636363636</v>
      </c>
      <c r="C18" s="854">
        <f>IF(ISNUMBER(
   IF(Criterios!B14="SI",(Datos!J18-Datos!T18)/Datos!T18,(Datos!J18+Datos!AD18-(Datos!T18+Datos!AL18))/(Datos!T18+Datos!AL18))
     ),IF(Criterios!B14="SI",(Datos!J18-Datos!T18)/Datos!T18,(Datos!J18+Datos!AD18-(Datos!T18+Datos!AL18))/(Datos!T18+Datos!AL18))," - ")</f>
        <v>-2.1190965092402463E-2</v>
      </c>
      <c r="D18" s="854">
        <f>IF(ISNUMBER(
   IF(Criterios!B14="SI",(Datos!K18-Datos!U18)/Datos!U18,(Datos!K18+Datos!AE18-(Datos!U18+Datos!AM18))/(Datos!U18+Datos!AM18))
     ),IF(Criterios!B14="SI",(Datos!K18-Datos!U18)/Datos!U18,(Datos!K18+Datos!AE18-(Datos!U18+Datos!AM18))/(Datos!U18+Datos!AM18))," - ")</f>
        <v>-7.9818918274958309E-2</v>
      </c>
      <c r="E18" s="854">
        <f>IF(ISNUMBER(
   IF(Criterios!B14="SI",(Datos!L18-Datos!V18)/Datos!V18,(Datos!L18+Datos!AF18-(Datos!V18+Datos!AN18))/(Datos!V18+Datos!AN18))
     ),IF(Criterios!B14="SI",(Datos!L18-Datos!V18)/Datos!V18,(Datos!L18+Datos!AF18-(Datos!V18+Datos!AN18))/(Datos!V18+Datos!AN18))," - ")</f>
        <v>0.28844738778513612</v>
      </c>
      <c r="F18" s="855">
        <f>IF(ISNUMBER((Datos!M18-Datos!W18)/Datos!W18),(Datos!M18-Datos!W18)/Datos!W18," - ")</f>
        <v>-4.9222797927461141E-2</v>
      </c>
      <c r="G18" s="856">
        <f>IF(ISNUMBER((Datos!N18-Datos!X18)/Datos!X18),(Datos!N18-Datos!X18)/Datos!X18," - ")</f>
        <v>-6.5581617999042607E-2</v>
      </c>
      <c r="H18" s="856">
        <f>IF(ISNUMBER(((NºAsuntos!G18/NºAsuntos!E18)-Datos!BD18)/Datos!BD18),((NºAsuntos!G18/NºAsuntos!E18)-Datos!BD18)/Datos!BD18," - ")</f>
        <v>-5.9897233363901681E-2</v>
      </c>
      <c r="I18" s="856">
        <f>IF(ISNUMBER(((NºAsuntos!I18/NºAsuntos!G18)-Datos!BE18)/Datos!BE18),((NºAsuntos!I18/NºAsuntos!G18)-Datos!BE18)/Datos!BE18," - ")</f>
        <v>0.40021069045422486</v>
      </c>
      <c r="J18" s="856">
        <f>IF(ISNUMBER((('Resol  Asuntos'!D18/NºAsuntos!G18)-Datos!BF18)/Datos!BF18),(('Resol  Asuntos'!D18/NºAsuntos!G18)-Datos!BF18)/Datos!BF18," - ")</f>
        <v>3.3250108000633286E-2</v>
      </c>
      <c r="K18" s="856">
        <f>IF(ISNUMBER((((NºAsuntos!C18+NºAsuntos!E18)/NºAsuntos!G18)-Datos!BG18)/Datos!BG18),(((NºAsuntos!C18+NºAsuntos!E18)/NºAsuntos!G18)-Datos!BG18)/Datos!BG18," - ")</f>
        <v>4.3587343832379832E-2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-0.1613818424566088</v>
      </c>
      <c r="C19" s="801">
        <f>IF(ISNUMBER(
   IF(J_V="SI",(Datos!J19-Datos!T19)/Datos!T19,(Datos!J19+Datos!Z19-(Datos!T19+Datos!AH19))/(Datos!T19+Datos!AH19))
     ),IF(J_V="SI",(Datos!J19-Datos!T19)/Datos!T19,(Datos!J19+Datos!Z19-(Datos!T19+Datos!AH19))/(Datos!T19+Datos!AH19))," - ")</f>
        <v>-0.18013252566618321</v>
      </c>
      <c r="D19" s="801">
        <f>IF(ISNUMBER(
   IF(J_V="SI",(Datos!K19-Datos!U19)/Datos!U19,(Datos!K19+Datos!AA19-(Datos!U19+Datos!AI19))/(Datos!U19+Datos!AI19))
     ),IF(J_V="SI",(Datos!K19-Datos!U19)/Datos!U19,(Datos!K19+Datos!AA19-(Datos!U19+Datos!AI19))/(Datos!U19+Datos!AI19))," - ")</f>
        <v>-0.16943175442814778</v>
      </c>
      <c r="E19" s="801">
        <f>IF(ISNUMBER(
   IF(J_V="SI",(Datos!L19-Datos!V19)/Datos!V19,(Datos!L19+Datos!AB19-(Datos!V19+Datos!AJ19))/(Datos!V19+Datos!AJ19))
     ),IF(J_V="SI",(Datos!L19-Datos!V19)/Datos!V19,(Datos!L19+Datos!AB19-(Datos!V19+Datos!AJ19))/(Datos!V19+Datos!AJ19))," - ")</f>
        <v>-0.14845771144278608</v>
      </c>
      <c r="F19" s="802">
        <f>IF(ISNUMBER((Datos!M19-Datos!W19)/Datos!W19),(Datos!M19-Datos!W19)/Datos!W19," - ")</f>
        <v>-0.13931152529478888</v>
      </c>
      <c r="G19" s="803">
        <f>IF(ISNUMBER((Datos!N19-Datos!X19)/Datos!X19),(Datos!N19-Datos!X19)/Datos!X19," - ")</f>
        <v>-0.17940290331416051</v>
      </c>
      <c r="H19" s="804">
        <f>IF(ISNUMBER((Tasas!B19-Datos!BD19)/Datos!BD19),(Tasas!B19-Datos!BD19)/Datos!BD19," - ")</f>
        <v>1.3051830415312377E-2</v>
      </c>
      <c r="I19" s="805">
        <f>IF(ISNUMBER((Tasas!C19-Datos!BE19)/Datos!BE19),(Tasas!C19-Datos!BE19)/Datos!BE19," - ")</f>
        <v>2.5252642509732467E-2</v>
      </c>
      <c r="J19" s="806">
        <f>IF(ISNUMBER((Tasas!D19-Datos!BF19)/Datos!BF19),(Tasas!D19-Datos!BF19)/Datos!BF19," - ")</f>
        <v>-1.1577452750858277E-2</v>
      </c>
      <c r="K19" s="806">
        <f>IF(ISNUMBER((Tasas!E19-Datos!BG19)/Datos!BG19),(Tasas!E19-Datos!BG19)/Datos!BG19," - ")</f>
        <v>-7.1452921515022206E-3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TkfUNLlVlDxXTYg839PldO74aFcb/z0Dc1giIV7GabspLWNZeWWGqKpwkW26eSu5WFEF4PmRwRLWzmpXxJ3sA==" saltValue="9ODnWsYsipUlQCQ5EaSQ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SANTANDER</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1.1662724363433978</v>
      </c>
      <c r="C9" s="442">
        <f>IF(ISNUMBER(NºAsuntos!I9/NºAsuntos!G9),NºAsuntos!I9/NºAsuntos!G9," - ")</f>
        <v>0.37025769506084466</v>
      </c>
      <c r="D9" s="443">
        <f>IF(ISNUMBER('Resol  Asuntos'!D9/NºAsuntos!G9),'Resol  Asuntos'!D9/NºAsuntos!G9," - ")</f>
        <v>0.34073013600572655</v>
      </c>
      <c r="E9" s="444">
        <f>IF(ISNUMBER((NºAsuntos!C9+NºAsuntos!E9)/NºAsuntos!G9),(NºAsuntos!C9+NºAsuntos!E9)/NºAsuntos!G9," - ")</f>
        <v>1.3280839895013123</v>
      </c>
      <c r="G9" s="462"/>
    </row>
    <row r="10" spans="1:7" ht="21">
      <c r="A10" s="401" t="str">
        <f>Datos!A10</f>
        <v>Jdos. Violencia contra la mujer/Secc Viol. TI.</v>
      </c>
      <c r="B10" s="441">
        <f>IF(ISNUMBER(NºAsuntos!G10/NºAsuntos!E10),NºAsuntos!G10/NºAsuntos!E10," - ")</f>
        <v>1.1194029850746268</v>
      </c>
      <c r="C10" s="442">
        <f>IF(ISNUMBER(NºAsuntos!I10/NºAsuntos!G10),NºAsuntos!I10/NºAsuntos!G10," - ")</f>
        <v>0.28666666666666668</v>
      </c>
      <c r="D10" s="443">
        <f>IF(ISNUMBER('Resol  Asuntos'!D10/NºAsuntos!G10),'Resol  Asuntos'!D10/NºAsuntos!G10," - ")</f>
        <v>0.44666666666666666</v>
      </c>
      <c r="E10" s="444">
        <f>IF(ISNUMBER((NºAsuntos!C10+NºAsuntos!E10)/NºAsuntos!G10),(NºAsuntos!C10+NºAsuntos!E10)/NºAsuntos!G10," - ")</f>
        <v>1.2866666666666666</v>
      </c>
      <c r="G10" s="462"/>
    </row>
    <row r="11" spans="1:7">
      <c r="A11" s="401" t="str">
        <f>Datos!A11</f>
        <v xml:space="preserve">Jdos. Familia                                   </v>
      </c>
      <c r="B11" s="441">
        <f>IF(ISNUMBER(NºAsuntos!G11/NºAsuntos!E11),NºAsuntos!G11/NºAsuntos!E11," - ")</f>
        <v>1.0769550748752079</v>
      </c>
      <c r="C11" s="442">
        <f>IF(ISNUMBER(NºAsuntos!I11/NºAsuntos!G11),NºAsuntos!I11/NºAsuntos!G11," - ")</f>
        <v>0.21514098107377366</v>
      </c>
      <c r="D11" s="443">
        <f>IF(ISNUMBER('Resol  Asuntos'!D11/NºAsuntos!G11),'Resol  Asuntos'!D11/NºAsuntos!G11," - ")</f>
        <v>0.27153341058323677</v>
      </c>
      <c r="E11" s="444">
        <f>IF(ISNUMBER((NºAsuntos!C11+NºAsuntos!E11)/NºAsuntos!G11),(NºAsuntos!C11+NºAsuntos!E11)/NºAsuntos!G11," - ")</f>
        <v>1.2151409810737737</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1.1532048249763482</v>
      </c>
      <c r="C13" s="858">
        <f>IF(ISNUMBER(NºAsuntos!I13/NºAsuntos!G13),NºAsuntos!I13/NºAsuntos!G13," - ")</f>
        <v>0.34902322719581602</v>
      </c>
      <c r="D13" s="859">
        <f>IF(ISNUMBER('Resol  Asuntos'!D13/NºAsuntos!G13),'Resol  Asuntos'!D13/NºAsuntos!G13," - ")</f>
        <v>0.3323591242372968</v>
      </c>
      <c r="E13" s="860">
        <f>IF(ISNUMBER((NºAsuntos!C13+NºAsuntos!E13)/NºAsuntos!G13),(NºAsuntos!C13+NºAsuntos!E13)/NºAsuntos!G13," - ")</f>
        <v>1.3127723939906681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0.97152266563347545</v>
      </c>
      <c r="C15" s="442">
        <f>IF(ISNUMBER(NºAsuntos!I15/NºAsuntos!G15),NºAsuntos!I15/NºAsuntos!G15," - ")</f>
        <v>0.1617148554336989</v>
      </c>
      <c r="D15" s="443">
        <f>IF(ISNUMBER('Resol  Asuntos'!D15/NºAsuntos!G15),'Resol  Asuntos'!D15/NºAsuntos!G15," - ")</f>
        <v>0.23569292123629113</v>
      </c>
      <c r="E15" s="444">
        <f>IF(ISNUMBER((NºAsuntos!C15+NºAsuntos!E15)/NºAsuntos!G15),(NºAsuntos!C15+NºAsuntos!E15)/NºAsuntos!G15," - ")</f>
        <v>1.1556331006979064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0.97677338355304455</v>
      </c>
      <c r="C17" s="442">
        <f>IF(ISNUMBER(NºAsuntos!I17/NºAsuntos!G17),NºAsuntos!I17/NºAsuntos!G17," - ")</f>
        <v>8.2904884318766067E-2</v>
      </c>
      <c r="D17" s="443">
        <f>IF(ISNUMBER('Resol  Asuntos'!D17/NºAsuntos!G17),'Resol  Asuntos'!D17/NºAsuntos!G17," - ")</f>
        <v>0.13174807197943444</v>
      </c>
      <c r="E17" s="444">
        <f>IF(ISNUMBER((NºAsuntos!C17+NºAsuntos!E17)/NºAsuntos!G17),(NºAsuntos!C17+NºAsuntos!E17)/NºAsuntos!G17," - ")</f>
        <v>1.0829048843187661</v>
      </c>
      <c r="G17" s="462"/>
    </row>
    <row r="18" spans="1:7" ht="14.25" thickTop="1" thickBot="1">
      <c r="A18" s="847" t="str">
        <f>Datos!A18</f>
        <v>TOTAL</v>
      </c>
      <c r="B18" s="857">
        <f>IF(ISNUMBER(NºAsuntos!G18/NºAsuntos!E18),NºAsuntos!G18/NºAsuntos!E18," - ")</f>
        <v>0.97222455315935219</v>
      </c>
      <c r="C18" s="858">
        <f>IF(ISNUMBER(NºAsuntos!I18/NºAsuntos!G18),NºAsuntos!I18/NºAsuntos!G18," - ")</f>
        <v>0.15113067495252891</v>
      </c>
      <c r="D18" s="861">
        <f>IF(ISNUMBER('Resol  Asuntos'!D18/NºAsuntos!G18),'Resol  Asuntos'!D18/NºAsuntos!G18," - ")</f>
        <v>0.22173312618677715</v>
      </c>
      <c r="E18" s="860">
        <f>IF(ISNUMBER((NºAsuntos!C18+NºAsuntos!E18)/NºAsuntos!G18),(NºAsuntos!C18+NºAsuntos!E18)/NºAsuntos!G18," - ")</f>
        <v>1.1458656999827377</v>
      </c>
      <c r="G18" s="462"/>
    </row>
    <row r="19" spans="1:7" ht="15.75" customHeight="1" thickTop="1" thickBot="1">
      <c r="A19" s="792" t="str">
        <f>Datos!A19</f>
        <v>TOTAL JURISDICCIONES</v>
      </c>
      <c r="B19" s="807">
        <f>IF(ISNUMBER(NºAsuntos!G19/NºAsuntos!E19),NºAsuntos!G19/NºAsuntos!E19," - ")</f>
        <v>1.0783932845398732</v>
      </c>
      <c r="C19" s="808">
        <f>IF(ISNUMBER(NºAsuntos!I19/NºAsuntos!G19),NºAsuntos!I19/NºAsuntos!G19," - ")</f>
        <v>0.27527421274405739</v>
      </c>
      <c r="D19" s="809">
        <f>IF(ISNUMBER('Resol  Asuntos'!D19/NºAsuntos!G19),'Resol  Asuntos'!D19/NºAsuntos!G19," - ")</f>
        <v>0.29113191160860752</v>
      </c>
      <c r="E19" s="810">
        <f>IF(ISNUMBER((NºAsuntos!C19+NºAsuntos!E19)/NºAsuntos!G19),(NºAsuntos!C19+NºAsuntos!E19)/NºAsuntos!G19," - ")</f>
        <v>1.2505709414905593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ziefmdcu3CnyY4R1NMH/XGIbjrP8YjKmie7G4kcWhPxNXf8mnX+tQInVv5rBToCqNWi/Rg0qRz/sMQnFT+Zpg==" saltValue="D5/861kozTTRmmlCJtot5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SANTANDER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11</v>
      </c>
      <c r="B9" s="176" t="s">
        <v>246</v>
      </c>
      <c r="C9" s="159" t="str">
        <f>Datos!A9</f>
        <v xml:space="preserve">Jdos. 1ª Instancia   </v>
      </c>
      <c r="D9" s="159"/>
      <c r="E9" s="1024">
        <f>IF(ISNUMBER(Datos!AQ9),Datos!AQ9," - ")</f>
        <v>11</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5010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5560</v>
      </c>
      <c r="Y9" s="333">
        <f>SUM(W9:X9)</f>
        <v>5560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13008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5712</v>
      </c>
      <c r="AJ9" s="228" t="str">
        <f>IF(ISNUMBER(Datos!BW9),Datos!BW9," - ")</f>
        <v xml:space="preserve"> - </v>
      </c>
      <c r="AK9" s="227" t="str">
        <f>IF(ISNUMBER(Datos!BX9),Datos!BX9," - ")</f>
        <v xml:space="preserve"> - </v>
      </c>
      <c r="AL9" s="242">
        <f>IF(ISNUMBER(NºAsuntos!G9/NºAsuntos!E9),NºAsuntos!G9/NºAsuntos!E9," - ")</f>
        <v>1.1662724363433978</v>
      </c>
      <c r="AM9" s="259">
        <f>IF(ISNUMBER(((NºAsuntos!I9/NºAsuntos!G9)*11)/factor_trimestre),((NºAsuntos!I9/NºAsuntos!G9)*11)/factor_trimestre," - ")</f>
        <v>4.0728346456692917</v>
      </c>
      <c r="AN9" s="243">
        <f>IF(ISNUMBER('Resol  Asuntos'!D9/NºAsuntos!G9),'Resol  Asuntos'!D9/NºAsuntos!G9," - ")</f>
        <v>0.34073013600572655</v>
      </c>
      <c r="AO9" s="244">
        <f>IF(ISNUMBER((NºAsuntos!C9+NºAsuntos!E9)/NºAsuntos!G9),(NºAsuntos!C9+NºAsuntos!E9)/NºAsuntos!G9," - ")</f>
        <v>1.3280839895013123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59</v>
      </c>
      <c r="G10" s="332">
        <f>IF(ISNUMBER(Datos!I10),Datos!I10," - ")</f>
        <v>59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150</v>
      </c>
      <c r="X10" s="225">
        <f>IF(ISNUMBER(Datos!Q10),Datos!Q10," - ")</f>
        <v>36</v>
      </c>
      <c r="Y10" s="333">
        <f t="shared" ref="Y10:Y12" si="0">SUM(W10:X10)</f>
        <v>186</v>
      </c>
      <c r="Z10" s="334" t="str">
        <f>IF(ISNUMBER(Datos!CC10),Datos!CC10," - ")</f>
        <v xml:space="preserve"> - </v>
      </c>
      <c r="AA10" s="331">
        <f>IF(ISNUMBER(Datos!L10),Datos!L10,"-")</f>
        <v>43</v>
      </c>
      <c r="AB10" s="333">
        <f>IF(ISNUMBER(Datos!R10),Datos!R10," - ")</f>
        <v>115</v>
      </c>
      <c r="AC10" s="333">
        <f t="shared" ref="AC10:AC12" si="1">IF(ISNUMBER(AA10+AB10),AA10+AB10," - ")</f>
        <v>158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67</v>
      </c>
      <c r="AJ10" s="230" t="str">
        <f>IF(ISNUMBER(Datos!BW10),Datos!BW10," - ")</f>
        <v xml:space="preserve"> - </v>
      </c>
      <c r="AK10" s="231" t="str">
        <f>IF(ISNUMBER(Datos!BX10),Datos!BX10," - ")</f>
        <v xml:space="preserve"> - </v>
      </c>
      <c r="AL10" s="242">
        <f>IF(ISNUMBER(NºAsuntos!G10/NºAsuntos!E10),NºAsuntos!G10/NºAsuntos!E10," - ")</f>
        <v>1.1194029850746268</v>
      </c>
      <c r="AM10" s="259">
        <f>IF(ISNUMBER(((NºAsuntos!I10/NºAsuntos!G10)*11)/factor_trimestre),((NºAsuntos!I10/NºAsuntos!G10)*11)/factor_trimestre," - ")</f>
        <v>3.1533333333333333</v>
      </c>
      <c r="AN10" s="243">
        <f>IF(ISNUMBER('Resol  Asuntos'!D10/NºAsuntos!G10),'Resol  Asuntos'!D10/NºAsuntos!G10," - ")</f>
        <v>0.44666666666666666</v>
      </c>
      <c r="AO10" s="244">
        <f>IF(ISNUMBER((NºAsuntos!C10+NºAsuntos!E10)/NºAsuntos!G10),(NºAsuntos!C10+NºAsuntos!E10)/NºAsuntos!G10," - ")</f>
        <v>1.2866666666666666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247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331</v>
      </c>
      <c r="Y11" s="333">
        <f t="shared" si="0"/>
        <v>331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625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703</v>
      </c>
      <c r="AJ11" s="230" t="str">
        <f>IF(ISNUMBER(Datos!BW11),Datos!BW11," - ")</f>
        <v xml:space="preserve"> - </v>
      </c>
      <c r="AK11" s="231" t="str">
        <f>IF(ISNUMBER(Datos!BX11),Datos!BX11," - ")</f>
        <v xml:space="preserve"> - </v>
      </c>
      <c r="AL11" s="242">
        <f>IF(ISNUMBER(NºAsuntos!G11/NºAsuntos!E11),NºAsuntos!G11/NºAsuntos!E11," - ")</f>
        <v>1.0769550748752079</v>
      </c>
      <c r="AM11" s="259">
        <f>IF(ISNUMBER(((NºAsuntos!I11/NºAsuntos!G11)*11)/factor_trimestre),((NºAsuntos!I11/NºAsuntos!G11)*11)/factor_trimestre," - ")</f>
        <v>2.3665507918115103</v>
      </c>
      <c r="AN11" s="243">
        <f>IF(ISNUMBER('Resol  Asuntos'!D11/NºAsuntos!G11),'Resol  Asuntos'!D11/NºAsuntos!G11," - ")</f>
        <v>0.27153341058323677</v>
      </c>
      <c r="AO11" s="244">
        <f>IF(ISNUMBER((NºAsuntos!C11+NºAsuntos!E11)/NºAsuntos!G11),(NºAsuntos!C11+NºAsuntos!E11)/NºAsuntos!G11," - ")</f>
        <v>1.2151409810737737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14</v>
      </c>
      <c r="F13" s="864">
        <f t="shared" si="3"/>
        <v>59</v>
      </c>
      <c r="G13" s="865">
        <f t="shared" si="3"/>
        <v>59</v>
      </c>
      <c r="H13" s="864">
        <f t="shared" si="3"/>
        <v>0</v>
      </c>
      <c r="I13" s="866">
        <f t="shared" si="3"/>
        <v>0</v>
      </c>
      <c r="J13" s="866">
        <f t="shared" si="3"/>
        <v>0</v>
      </c>
      <c r="K13" s="866">
        <f t="shared" si="3"/>
        <v>0</v>
      </c>
      <c r="L13" s="866">
        <f t="shared" si="3"/>
        <v>5326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150</v>
      </c>
      <c r="X13" s="866">
        <f t="shared" si="4"/>
        <v>5927</v>
      </c>
      <c r="Y13" s="867">
        <f t="shared" si="4"/>
        <v>6077</v>
      </c>
      <c r="Z13" s="867">
        <f t="shared" si="4"/>
        <v>0</v>
      </c>
      <c r="AA13" s="867">
        <f t="shared" si="4"/>
        <v>43</v>
      </c>
      <c r="AB13" s="867">
        <f t="shared" si="4"/>
        <v>13748</v>
      </c>
      <c r="AC13" s="867">
        <f t="shared" si="4"/>
        <v>158</v>
      </c>
      <c r="AD13" s="867">
        <f t="shared" si="4"/>
        <v>0</v>
      </c>
      <c r="AE13" s="871">
        <f t="shared" si="4"/>
        <v>0</v>
      </c>
      <c r="AF13" s="864">
        <f t="shared" si="4"/>
        <v>0</v>
      </c>
      <c r="AG13" s="872">
        <f t="shared" si="4"/>
        <v>0</v>
      </c>
      <c r="AH13" s="869">
        <f t="shared" si="4"/>
        <v>0</v>
      </c>
      <c r="AI13" s="864">
        <f t="shared" si="4"/>
        <v>6482</v>
      </c>
      <c r="AJ13" s="866">
        <f t="shared" si="4"/>
        <v>0</v>
      </c>
      <c r="AK13" s="869">
        <f>SUBTOTAL(9,AK9:AK12)</f>
        <v>0</v>
      </c>
      <c r="AL13" s="873">
        <f>IF(ISNUMBER(NºAsuntos!G13/NºAsuntos!E13),NºAsuntos!G13/NºAsuntos!E13," - ")</f>
        <v>1.1532048249763482</v>
      </c>
      <c r="AM13" s="873">
        <f>IF(ISNUMBER(((NºAsuntos!I13/NºAsuntos!G13)*11)/factor_trimestre),((NºAsuntos!I13/NºAsuntos!G13)*11)/factor_trimestre," - ")</f>
        <v>3.8392554991539765</v>
      </c>
      <c r="AN13" s="874">
        <f>IF(ISNUMBER('Resol  Asuntos'!D13/NºAsuntos!G13),'Resol  Asuntos'!D13/NºAsuntos!G13," - ")</f>
        <v>0.3323591242372968</v>
      </c>
      <c r="AO13" s="875">
        <f>IF(ISNUMBER((NºAsuntos!C13+NºAsuntos!E13)/NºAsuntos!G13),(NºAsuntos!C13+NºAsuntos!E13)/NºAsuntos!G13," - ")</f>
        <v>1.3127723939906681</v>
      </c>
      <c r="AP13" s="876" t="str">
        <f t="shared" si="2"/>
        <v xml:space="preserve"> - </v>
      </c>
      <c r="AQ13" s="876">
        <f>IF(ISNUMBER((H13-W13+K13)/(F13)),(H13-W13+K13)/(F13)," - ")</f>
        <v>-2.5423728813559321</v>
      </c>
      <c r="AR13" s="877">
        <f>IF(ISNUMBER((Datos!P13-Datos!Q13)/(Datos!R13-Datos!P13+Datos!Q13)),(Datos!P13-Datos!Q13)/(Datos!R13-Datos!P13+Datos!Q13)," - ")</f>
        <v>-4.1884451878179664E-2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1328</v>
      </c>
      <c r="G15" s="332">
        <f>IF(ISNUMBER(IF(D_I="SI",Datos!I15,Datos!I15+Datos!AC15)),IF(D_I="SI",Datos!I15,Datos!I15+Datos!AC15)," - ")</f>
        <v>1267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1035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10030</v>
      </c>
      <c r="X15" s="225">
        <f>IF(ISNUMBER(Datos!Q15),Datos!Q15," - ")</f>
        <v>1213</v>
      </c>
      <c r="Y15" s="333">
        <f>SUM(W15)</f>
        <v>10030</v>
      </c>
      <c r="Z15" s="334" t="str">
        <f>IF(ISNUMBER(Datos!CC15),Datos!CC15," - ")</f>
        <v xml:space="preserve"> - </v>
      </c>
      <c r="AA15" s="331">
        <f>IF(ISNUMBER(IF(D_I="SI",Datos!L15,Datos!L15+Datos!AF15)),IF(D_I="SI",Datos!L15,Datos!L15+Datos!AF15)," - ")</f>
        <v>1622</v>
      </c>
      <c r="AB15" s="333">
        <f>IF(ISNUMBER(Datos!R15),Datos!R15," - ")</f>
        <v>434</v>
      </c>
      <c r="AC15" s="333">
        <f t="shared" ref="AC15:AC17" si="6">IF(ISNUMBER(AA15+AB15),AA15+AB15," - ")</f>
        <v>2056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2364</v>
      </c>
      <c r="AJ15" s="230" t="str">
        <f>IF(ISNUMBER(Datos!BW15),Datos!BW15," - ")</f>
        <v xml:space="preserve"> - </v>
      </c>
      <c r="AK15" s="231" t="str">
        <f>IF(ISNUMBER(Datos!BX15),Datos!BX15," - ")</f>
        <v xml:space="preserve"> - </v>
      </c>
      <c r="AL15" s="242">
        <f>IF(ISNUMBER(NºAsuntos!G15/NºAsuntos!E15),NºAsuntos!G15/NºAsuntos!E15," - ")</f>
        <v>0.97152266563347545</v>
      </c>
      <c r="AM15" s="259">
        <f>IF(ISNUMBER(((NºAsuntos!I15/NºAsuntos!G15)*11)/factor_trimestre),((NºAsuntos!I15/NºAsuntos!G15)*11)/factor_trimestre," - ")</f>
        <v>1.7788634097706879</v>
      </c>
      <c r="AN15" s="243">
        <f>IF(ISNUMBER('Resol  Asuntos'!D15/NºAsuntos!G15),'Resol  Asuntos'!D15/NºAsuntos!G15," - ")</f>
        <v>0.23569292123629113</v>
      </c>
      <c r="AO15" s="244">
        <f>IF(ISNUMBER((NºAsuntos!C15+NºAsuntos!E15)/NºAsuntos!G15),(NºAsuntos!C15+NºAsuntos!E15)/NºAsuntos!G15," - ")</f>
        <v>1.1556331006979064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92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1556</v>
      </c>
      <c r="X17" s="225">
        <f>IF(ISNUMBER(Datos!Q17),Datos!Q17," - ")</f>
        <v>35</v>
      </c>
      <c r="Y17" s="333">
        <f t="shared" si="7"/>
        <v>1591</v>
      </c>
      <c r="Z17" s="334" t="str">
        <f>IF(ISNUMBER(Datos!CC17),Datos!CC17," - ")</f>
        <v xml:space="preserve"> - </v>
      </c>
      <c r="AA17" s="331">
        <f>IF(ISNUMBER(Datos!L17),Datos!L17,"-")</f>
        <v>129</v>
      </c>
      <c r="AB17" s="333">
        <f>IF(ISNUMBER(Datos!R17),Datos!R17," - ")</f>
        <v>17</v>
      </c>
      <c r="AC17" s="333">
        <f t="shared" si="6"/>
        <v>146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205</v>
      </c>
      <c r="AJ17" s="230" t="str">
        <f>IF(ISNUMBER(Datos!BW17),Datos!BW17," - ")</f>
        <v xml:space="preserve"> - </v>
      </c>
      <c r="AK17" s="231" t="str">
        <f>IF(ISNUMBER(Datos!BX17),Datos!BX17," - ")</f>
        <v xml:space="preserve"> - </v>
      </c>
      <c r="AL17" s="242">
        <f>IF(ISNUMBER(NºAsuntos!G17/NºAsuntos!E17),NºAsuntos!G17/NºAsuntos!E17," - ")</f>
        <v>0.97677338355304455</v>
      </c>
      <c r="AM17" s="259">
        <f>IF(ISNUMBER(((NºAsuntos!I17/NºAsuntos!G17)*11)/factor_trimestre),((NºAsuntos!I17/NºAsuntos!G17)*11)/factor_trimestre," - ")</f>
        <v>0.91195372750642678</v>
      </c>
      <c r="AN17" s="243">
        <f>IF(ISNUMBER('Resol  Asuntos'!D17/NºAsuntos!G17),'Resol  Asuntos'!D17/NºAsuntos!G17," - ")</f>
        <v>0.13174807197943444</v>
      </c>
      <c r="AO17" s="244">
        <f>IF(ISNUMBER((NºAsuntos!C17+NºAsuntos!E17)/NºAsuntos!G17),(NºAsuntos!C17+NºAsuntos!E17)/NºAsuntos!G17," - ")</f>
        <v>1.0829048843187661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1328</v>
      </c>
      <c r="G18" s="865">
        <f>SUBTOTAL(9,G15:G17)</f>
        <v>1359</v>
      </c>
      <c r="H18" s="864">
        <f t="shared" ref="H18:O18" si="10">SUBTOTAL(9,H14:H17)</f>
        <v>0</v>
      </c>
      <c r="I18" s="866">
        <f t="shared" si="10"/>
        <v>0</v>
      </c>
      <c r="J18" s="866">
        <f t="shared" si="10"/>
        <v>0</v>
      </c>
      <c r="K18" s="866">
        <f t="shared" si="10"/>
        <v>0</v>
      </c>
      <c r="L18" s="866">
        <f t="shared" si="10"/>
        <v>1075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11586</v>
      </c>
      <c r="X18" s="866">
        <f t="shared" si="11"/>
        <v>1248</v>
      </c>
      <c r="Y18" s="867">
        <f t="shared" si="11"/>
        <v>11621</v>
      </c>
      <c r="Z18" s="867">
        <f t="shared" si="11"/>
        <v>0</v>
      </c>
      <c r="AA18" s="867">
        <f t="shared" si="11"/>
        <v>1751</v>
      </c>
      <c r="AB18" s="867">
        <f t="shared" si="11"/>
        <v>451</v>
      </c>
      <c r="AC18" s="867">
        <f t="shared" si="11"/>
        <v>2202</v>
      </c>
      <c r="AD18" s="867">
        <f t="shared" si="11"/>
        <v>0</v>
      </c>
      <c r="AE18" s="871">
        <f t="shared" si="11"/>
        <v>0</v>
      </c>
      <c r="AF18" s="864">
        <f t="shared" si="11"/>
        <v>0</v>
      </c>
      <c r="AG18" s="872">
        <f t="shared" si="11"/>
        <v>0</v>
      </c>
      <c r="AH18" s="869">
        <f t="shared" si="11"/>
        <v>0</v>
      </c>
      <c r="AI18" s="864">
        <f t="shared" si="11"/>
        <v>2569</v>
      </c>
      <c r="AJ18" s="866">
        <f t="shared" si="11"/>
        <v>0</v>
      </c>
      <c r="AK18" s="869">
        <f t="shared" si="11"/>
        <v>0</v>
      </c>
      <c r="AL18" s="873">
        <f>IF(ISNUMBER(NºAsuntos!G18/NºAsuntos!E18),NºAsuntos!G18/NºAsuntos!E18," - ")</f>
        <v>0.97222455315935219</v>
      </c>
      <c r="AM18" s="873">
        <f>IF(ISNUMBER(((NºAsuntos!I18/NºAsuntos!G18)*11)/factor_trimestre),((NºAsuntos!I18/NºAsuntos!G18)*11)/factor_trimestre," - ")</f>
        <v>1.6624374244778179</v>
      </c>
      <c r="AN18" s="874">
        <f>IF(ISNUMBER('Resol  Asuntos'!D18/NºAsuntos!G18),'Resol  Asuntos'!D18/NºAsuntos!G18," - ")</f>
        <v>0.22173312618677715</v>
      </c>
      <c r="AO18" s="875">
        <f>IF(ISNUMBER((NºAsuntos!C18+NºAsuntos!E18)/NºAsuntos!G18),(NºAsuntos!C18+NºAsuntos!E18)/NºAsuntos!G18," - ")</f>
        <v>1.1458656999827377</v>
      </c>
      <c r="AP18" s="876" t="str">
        <f t="shared" si="2"/>
        <v xml:space="preserve"> - </v>
      </c>
      <c r="AQ18" s="876">
        <f>IF(ISNUMBER((H18-W18+K18)/(F18)),(H18-W18+K18)/(F18)," - ")</f>
        <v>-8.7243975903614466</v>
      </c>
      <c r="AR18" s="877">
        <f>IF(ISNUMBER((Datos!P18-Datos!Q18)/(Datos!R18-Datos!P18+Datos!Q18)),(Datos!P18-Datos!Q18)/(Datos!R18-Datos!P18+Datos!Q18)," - ")</f>
        <v>-0.27724358974358976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20</v>
      </c>
      <c r="F19" s="819">
        <f t="shared" si="13"/>
        <v>1387</v>
      </c>
      <c r="G19" s="820">
        <f t="shared" si="13"/>
        <v>1418</v>
      </c>
      <c r="H19" s="819">
        <f t="shared" si="13"/>
        <v>0</v>
      </c>
      <c r="I19" s="821">
        <f t="shared" si="13"/>
        <v>0</v>
      </c>
      <c r="J19" s="821">
        <f t="shared" si="13"/>
        <v>0</v>
      </c>
      <c r="K19" s="880">
        <f t="shared" si="13"/>
        <v>0</v>
      </c>
      <c r="L19" s="821">
        <f t="shared" si="13"/>
        <v>6401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11736</v>
      </c>
      <c r="X19" s="820">
        <f t="shared" si="14"/>
        <v>7175</v>
      </c>
      <c r="Y19" s="827">
        <f t="shared" si="14"/>
        <v>17698</v>
      </c>
      <c r="Z19" s="827">
        <f t="shared" si="14"/>
        <v>0</v>
      </c>
      <c r="AA19" s="827">
        <f t="shared" si="14"/>
        <v>1794</v>
      </c>
      <c r="AB19" s="827">
        <f t="shared" si="14"/>
        <v>14199</v>
      </c>
      <c r="AC19" s="827">
        <f t="shared" si="14"/>
        <v>2360</v>
      </c>
      <c r="AD19" s="827">
        <f t="shared" si="14"/>
        <v>0</v>
      </c>
      <c r="AE19" s="829">
        <f t="shared" si="14"/>
        <v>0</v>
      </c>
      <c r="AF19" s="830">
        <f t="shared" si="14"/>
        <v>0</v>
      </c>
      <c r="AG19" s="831">
        <f t="shared" si="14"/>
        <v>0</v>
      </c>
      <c r="AH19" s="829">
        <f t="shared" si="14"/>
        <v>0</v>
      </c>
      <c r="AI19" s="819">
        <f t="shared" si="14"/>
        <v>9051</v>
      </c>
      <c r="AJ19" s="819">
        <f t="shared" si="14"/>
        <v>0</v>
      </c>
      <c r="AK19" s="829">
        <f t="shared" si="14"/>
        <v>0</v>
      </c>
      <c r="AL19" s="883">
        <f>IF(ISNUMBER(NºAsuntos!G19/NºAsuntos!E19),NºAsuntos!G19/NºAsuntos!E19," - ")</f>
        <v>1.0783932845398732</v>
      </c>
      <c r="AM19" s="884">
        <f>IF(ISNUMBER(((NºAsuntos!I19/NºAsuntos!G19)*11)/factor_trimestre),((NºAsuntos!I19/NºAsuntos!G19)*11)/factor_trimestre," - ")</f>
        <v>3.0280163401846312</v>
      </c>
      <c r="AN19" s="884">
        <f>IF(ISNUMBER('Resol  Asuntos'!D19/NºAsuntos!G19),'Resol  Asuntos'!D19/NºAsuntos!G19," - ")</f>
        <v>0.29113191160860752</v>
      </c>
      <c r="AO19" s="885">
        <f>IF(ISNUMBER((NºAsuntos!C19+NºAsuntos!E19)/NºAsuntos!G19),(NºAsuntos!C19+NºAsuntos!E19)/NºAsuntos!G19," - ")</f>
        <v>1.2505709414905593</v>
      </c>
      <c r="AP19" s="886" t="str">
        <f t="shared" si="2"/>
        <v xml:space="preserve"> - </v>
      </c>
      <c r="AQ19" s="887">
        <f>IF(OR(ISNUMBER(FIND("01",Criterios!A8,1)),ISNUMBER(FIND("02",Criterios!A8,1)),ISNUMBER(FIND("03",Criterios!A8,1)),ISNUMBER(FIND("04",Criterios!A8,1))),(I19-W19+K19)/(F19-K19),(H19-W19+K19)/(F19-K19))</f>
        <v>-8.4614275414563807</v>
      </c>
      <c r="AR19" s="888">
        <f>IF(ISNUMBER((Datos!P19-Datos!Q19)/(Datos!R19-Datos!P19+Datos!Q19)),(Datos!P19-Datos!Q19)/(Datos!R19-Datos!P19+Datos!Q19)," - ")</f>
        <v>-5.1693047485473854E-2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567.20000000000005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5.0771820705759385</v>
      </c>
      <c r="F21" s="251">
        <f>IF(ISNUMBER(STDEV(F8:F18)),STDEV(F8:F18),"-")</f>
        <v>732.65749160163512</v>
      </c>
      <c r="G21" s="252">
        <f>IF(ISNUMBER(STDEV(G8:G18)),STDEV(G8:G18),"-")</f>
        <v>681.728831721235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5637.2749445099798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2600.0152563654956</v>
      </c>
      <c r="AJ21" s="251">
        <f t="shared" si="18"/>
        <v>0</v>
      </c>
      <c r="AK21" s="253">
        <f t="shared" si="18"/>
        <v>0</v>
      </c>
      <c r="AL21" s="248">
        <f t="shared" si="18"/>
        <v>8.7767097260868635E-2</v>
      </c>
      <c r="AM21" s="249">
        <f t="shared" si="18"/>
        <v>1.1863027333664726</v>
      </c>
      <c r="AN21" s="249">
        <f t="shared" si="18"/>
        <v>0.10128840533494948</v>
      </c>
      <c r="AO21" s="250">
        <f t="shared" si="18"/>
        <v>9.4133850886504139E-2</v>
      </c>
      <c r="AP21" s="290" t="str">
        <f t="shared" si="18"/>
        <v>-</v>
      </c>
      <c r="AQ21" s="291">
        <f t="shared" si="18"/>
        <v>4.3713515932005915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ObblODA1gWJqpXW6lHdzPfYPLzIFadq8r0QuD0W7uExNLORpyM+SXAylmjhKtj/iJKAM+Ic/20dIuxZnsfUboA==" saltValue="CrRkr9QD8kvTqP/LP5w9x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SANTANDER</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-0.18609290396124251</v>
      </c>
      <c r="I9" s="349">
        <f>IF(ISNUMBER((Tasas!C9-Datos!BE9)/Datos!BE9),(Tasas!C9-Datos!BE9)/Datos!BE9," - ")</f>
        <v>2.4520405395229559E-2</v>
      </c>
      <c r="J9" s="348">
        <f>IF(ISNUMBER((Tasas!D9-Datos!BF9)/Datos!BF9),(Tasas!D9-Datos!BF9)/Datos!BF9," - ")</f>
        <v>0.13224053718067313</v>
      </c>
      <c r="K9" s="350">
        <f>IF(ISNUMBER((Tasas!E9-Datos!BG9)/Datos!BG9),(Tasas!E9-Datos!BG9)/Datos!BG9," - ")</f>
        <v>-1.9388201474815566E-2</v>
      </c>
      <c r="M9" t="e">
        <f>IF(Monitorios="SI",Datos!CE9,0)</f>
        <v>#REF!</v>
      </c>
      <c r="N9" t="e">
        <f>IF(Monitorios="SI",Datos!CF9,0)</f>
        <v>#REF!</v>
      </c>
      <c r="O9" t="e">
        <f>IF(Monitorios="SI",Datos!CG9,0)</f>
        <v>#REF!</v>
      </c>
      <c r="P9" t="e">
        <f>IF(Monitorios="SI",Datos!CH9,0)</f>
        <v>#REF!</v>
      </c>
      <c r="Q9">
        <f>IF(J_V="SI",0,Datos!AG9)</f>
        <v>381</v>
      </c>
      <c r="R9">
        <f>IF(J_V="SI",0,Datos!AH9)</f>
        <v>1387</v>
      </c>
      <c r="S9">
        <f>IF(J_V="SI",0,Datos!AI9)</f>
        <v>1570</v>
      </c>
      <c r="T9">
        <f>IF(J_V="SI",0,Datos!AJ9)</f>
        <v>203</v>
      </c>
    </row>
    <row r="10" spans="2:20" ht="14.25">
      <c r="B10" s="274" t="s">
        <v>246</v>
      </c>
      <c r="C10" s="7" t="str">
        <f>Datos!A10</f>
        <v>Jdos. Violencia contra la mujer/Secc Viol. TI.</v>
      </c>
      <c r="D10" s="351">
        <f>IF(ISNUMBER((Datos!I10-Datos!S10)/Datos!S10),(Datos!I10-Datos!S10)/Datos!S10," - ")</f>
        <v>0.13461538461538461</v>
      </c>
      <c r="E10" s="347">
        <f>IF(ISNUMBER((Datos!J10-Datos!T10)/Datos!T10),(Datos!J10-Datos!T10)/Datos!T10," - ")</f>
        <v>0</v>
      </c>
      <c r="F10" s="347">
        <f>IF(ISNUMBER((Datos!K10-Datos!U10)/Datos!U10),(Datos!K10-Datos!U10)/Datos!U10," - ")</f>
        <v>0.18110236220472442</v>
      </c>
      <c r="G10" s="348">
        <f>IF(ISNUMBER((Datos!L10-Datos!V10)/Datos!V10),(Datos!L10-Datos!V10)/Datos!V10," - ")</f>
        <v>-0.2711864406779661</v>
      </c>
      <c r="H10" s="229">
        <f>IF(ISNUMBER((Datos!M10-Datos!W10)/Datos!W10),(Datos!M10-Datos!W10)/Datos!W10," - ")</f>
        <v>8.0645161290322578E-2</v>
      </c>
      <c r="I10" s="349">
        <f>IF(ISNUMBER((Tasas!C10-Datos!BE10)/Datos!BE10),(Tasas!C10-Datos!BE10)/Datos!BE10," - ")</f>
        <v>-0.38293785310734463</v>
      </c>
      <c r="J10" s="348">
        <f>IF(ISNUMBER((Tasas!D10-Datos!BF10)/Datos!BF10),(Tasas!D10-Datos!BF10)/Datos!BF10," - ")</f>
        <v>-8.5053763440860269E-2</v>
      </c>
      <c r="K10" s="350">
        <f>IF(ISNUMBER((Tasas!E10-Datos!BG10)/Datos!BG10),(Tasas!E10-Datos!BG10)/Datos!BG10," - ")</f>
        <v>-0.12146953405017928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-4.2234332425068119E-2</v>
      </c>
      <c r="I11" s="349">
        <f>IF(ISNUMBER((Tasas!C11-Datos!BE11)/Datos!BE11),(Tasas!C11-Datos!BE11)/Datos!BE11," - ")</f>
        <v>-0.1646615007095123</v>
      </c>
      <c r="J11" s="348">
        <f>IF(ISNUMBER((Tasas!D11-Datos!BF11)/Datos!BF11),(Tasas!D11-Datos!BF11)/Datos!BF11," - ")</f>
        <v>-0.53738157546404186</v>
      </c>
      <c r="K11" s="350">
        <f>IF(ISNUMBER((Tasas!E11-Datos!BG11)/Datos!BG11),(Tasas!E11-Datos!BG11)/Datos!BG11," - ")</f>
        <v>-1.8828148409881774E-2</v>
      </c>
      <c r="M11" t="e">
        <f>IF(Monitorios="SI",Datos!CE11,0)</f>
        <v>#REF!</v>
      </c>
      <c r="N11" t="e">
        <f>IF(Monitorios="SI",Datos!CF11,0)</f>
        <v>#REF!</v>
      </c>
      <c r="O11" t="e">
        <f>IF(Monitorios="SI",Datos!CG11,0)</f>
        <v>#REF!</v>
      </c>
      <c r="P11" t="e">
        <f>IF(Monitorios="SI",Datos!CH11,0)</f>
        <v>#REF!</v>
      </c>
      <c r="Q11">
        <f>IF(J_V="SI",0,Datos!AG11)</f>
        <v>189</v>
      </c>
      <c r="R11">
        <f>IF(J_V="SI",0,Datos!AH11)</f>
        <v>1026</v>
      </c>
      <c r="S11">
        <f>IF(J_V="SI",0,Datos!AI11)</f>
        <v>1145</v>
      </c>
      <c r="T11">
        <f>IF(J_V="SI",0,Datos!AJ11)</f>
        <v>110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-0.17046327105195802</v>
      </c>
      <c r="I13" s="356">
        <f>IF(ISNUMBER((Tasas!C13-Datos!BE13)/Datos!BE13),(Tasas!C13-Datos!BE13)/Datos!BE13," - ")</f>
        <v>-2.4465581010160585E-3</v>
      </c>
      <c r="J13" s="354">
        <f>IF(ISNUMBER((Tasas!D13-Datos!BF13)/Datos!BF13),(Tasas!D13-Datos!BF13)/Datos!BF13," - ")</f>
        <v>-8.0739341518139517E-3</v>
      </c>
      <c r="K13" s="357">
        <f>IF(ISNUMBER((Tasas!E13-Datos!BG13)/Datos!BG13),(Tasas!E13-Datos!BG13)/Datos!BG13," - ")</f>
        <v>-2.138928435483475E-2</v>
      </c>
      <c r="M13" t="e">
        <f>IF(Monitorios="SI",Datos!CE13,0)</f>
        <v>#REF!</v>
      </c>
      <c r="N13" t="e">
        <f>IF(Monitorios="SI",Datos!CF13,0)</f>
        <v>#REF!</v>
      </c>
      <c r="O13" t="e">
        <f>IF(Monitorios="SI",Datos!CG13,0)</f>
        <v>#REF!</v>
      </c>
      <c r="P13" t="e">
        <f>IF(Monitorios="SI",Datos!CH13,0)</f>
        <v>#REF!</v>
      </c>
      <c r="Q13">
        <f>IF(J_V="SI",0,Datos!AG13)</f>
        <v>570</v>
      </c>
      <c r="R13">
        <f>IF(J_V="SI",0,Datos!AH13)</f>
        <v>2413</v>
      </c>
      <c r="S13">
        <f>IF(J_V="SI",0,Datos!AI13)</f>
        <v>2715</v>
      </c>
      <c r="T13">
        <f>IF(J_V="SI",0,Datos!AJ13)</f>
        <v>313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-0.18834080717488788</v>
      </c>
      <c r="E15" s="347">
        <f>IF(ISNUMBER(
   IF(D_I="SI",(Datos!J15-Datos!T15)/Datos!T15,(Datos!J15+Datos!AD15-(Datos!T15+Datos!AL15))/(Datos!T15+Datos!AL15))
     ),IF(D_I="SI",(Datos!J15-Datos!T15)/Datos!T15,(Datos!J15+Datos!AD15-(Datos!T15+Datos!AL15))/(Datos!T15+Datos!AL15))," - ")</f>
        <v>-3.12470676550624E-2</v>
      </c>
      <c r="F15" s="347">
        <f>IF(ISNUMBER(
   IF(D_I="SI",(Datos!K15-Datos!U15)/Datos!U15,(Datos!K15+Datos!AE15-(Datos!U15+Datos!AM15))/(Datos!U15+Datos!AM15))
     ),IF(D_I="SI",(Datos!K15-Datos!U15)/Datos!U15,(Datos!K15+Datos!AE15-(Datos!U15+Datos!AM15))/(Datos!U15+Datos!AM15))," - ")</f>
        <v>-9.3947606142728096E-2</v>
      </c>
      <c r="G15" s="348">
        <f>IF(ISNUMBER(
   IF(D_I="SI",(Datos!L15-Datos!V15)/Datos!V15,(Datos!L15+Datos!AF15-(Datos!V15+Datos!AN15))/(Datos!V15+Datos!AN15))
     ),IF(D_I="SI",(Datos!L15-Datos!V15)/Datos!V15,(Datos!L15+Datos!AF15-(Datos!V15+Datos!AN15))/(Datos!V15+Datos!AN15))," - ")</f>
        <v>0.28018942383583267</v>
      </c>
      <c r="H15" s="229">
        <f>IF(ISNUMBER((Datos!M15-Datos!W15)/Datos!W15),(Datos!M15-Datos!W15)/Datos!W15," - ")</f>
        <v>-6.671930517173312E-2</v>
      </c>
      <c r="I15" s="349">
        <f>IF(ISNUMBER((Tasas!C15-Datos!BE15)/Datos!BE15),(Tasas!C15-Datos!BE15)/Datos!BE15," - ")</f>
        <v>0.41293089948780337</v>
      </c>
      <c r="J15" s="348">
        <f>IF(ISNUMBER((Tasas!D15-Datos!BF15)/Datos!BF15),(Tasas!D15-Datos!BF15)/Datos!BF15," - ")</f>
        <v>3.0051574451536868E-2</v>
      </c>
      <c r="K15" s="350">
        <f>IF(ISNUMBER((Tasas!E15-Datos!BG15)/Datos!BG15),(Tasas!E15-Datos!BG15)/Datos!BG15," - ")</f>
        <v>4.7050124793405167E-2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3.3707865168539325E-2</v>
      </c>
      <c r="E17" s="347">
        <f>IF(ISNUMBER(
   IF(D_I="SI",(Datos!J17-Datos!T17)/Datos!T17,(Datos!J17+Datos!AD17-(Datos!T17+Datos!AL17))/(Datos!T17+Datos!AL17))
     ),IF(D_I="SI",(Datos!J17-Datos!T17)/Datos!T17,(Datos!J17+Datos!AD17-(Datos!T17+Datos!AL17))/(Datos!T17+Datos!AL17))," - ")</f>
        <v>4.9407114624505928E-2</v>
      </c>
      <c r="F17" s="347">
        <f>IF(ISNUMBER(
   IF(D_I="SI",(Datos!K17-Datos!U17)/Datos!U17,(Datos!K17+Datos!AE17-(Datos!U17+Datos!AM17))/(Datos!U17+Datos!AM17))
     ),IF(D_I="SI",(Datos!K17-Datos!U17)/Datos!U17,(Datos!K17+Datos!AE17-(Datos!U17+Datos!AM17))/(Datos!U17+Datos!AM17))," - ")</f>
        <v>2.3011176857330704E-2</v>
      </c>
      <c r="G17" s="348">
        <f>IF(ISNUMBER(
   IF(D_I="SI",(Datos!L17-Datos!V17)/Datos!V17,(Datos!L17+Datos!AF17-(Datos!V17+Datos!AN17))/(Datos!V17+Datos!AN17))
     ),IF(D_I="SI",(Datos!L17-Datos!V17)/Datos!V17,(Datos!L17+Datos!AF17-(Datos!V17+Datos!AN17))/(Datos!V17+Datos!AN17))," - ")</f>
        <v>0.40217391304347827</v>
      </c>
      <c r="H17" s="229">
        <f>IF(ISNUMBER((Datos!M17-Datos!W17)/Datos!W17),(Datos!M17-Datos!W17)/Datos!W17," - ")</f>
        <v>0.21301775147928995</v>
      </c>
      <c r="I17" s="349">
        <f>IF(ISNUMBER((Tasas!C17-Datos!BE17)/Datos!BE17),(Tasas!C17-Datos!BE17)/Datos!BE17," - ")</f>
        <v>0.37063401140046942</v>
      </c>
      <c r="J17" s="348">
        <f>IF(ISNUMBER((Tasas!D17-Datos!BF17)/Datos!BF17),(Tasas!D17-Datos!BF17)/Datos!BF17," - ")</f>
        <v>0.18573264781491006</v>
      </c>
      <c r="K17" s="350">
        <f>IF(ISNUMBER((Tasas!E17-Datos!BG17)/Datos!BG17),(Tasas!E17-Datos!BG17)/Datos!BG17," - ")</f>
        <v>2.495228938944825E-2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-0.17636363636363636</v>
      </c>
      <c r="E18" s="353">
        <f>IF(ISNUMBER(
   IF(D_I="SI",(Datos!J18-Datos!T18)/Datos!T18,(Datos!J18+Datos!AD18-(Datos!T18+Datos!AL18))/(Datos!T18+Datos!AL18))
     ),IF(D_I="SI",(Datos!J18-Datos!T18)/Datos!T18,(Datos!J18+Datos!AD18-(Datos!T18+Datos!AL18))/(Datos!T18+Datos!AL18))," - ")</f>
        <v>-2.1190965092402463E-2</v>
      </c>
      <c r="F18" s="353">
        <f>IF(ISNUMBER(
   IF(D_I="SI",(Datos!K18-Datos!U18)/Datos!U18,(Datos!K18+Datos!AE18-(Datos!U18+Datos!AM18))/(Datos!U18+Datos!AM18))
     ),IF(D_I="SI",(Datos!K18-Datos!U18)/Datos!U18,(Datos!K18+Datos!AE18-(Datos!U18+Datos!AM18))/(Datos!U18+Datos!AM18))," - ")</f>
        <v>-7.9818918274958309E-2</v>
      </c>
      <c r="G18" s="354">
        <f>IF(ISNUMBER(
   IF(D_I="SI",(Datos!L18-Datos!V18)/Datos!V18,(Datos!L18+Datos!AF18-(Datos!V18+Datos!AN18))/(Datos!V18+Datos!AN18))
     ),IF(D_I="SI",(Datos!L18-Datos!V18)/Datos!V18,(Datos!L18+Datos!AF18-(Datos!V18+Datos!AN18))/(Datos!V18+Datos!AN18))," - ")</f>
        <v>0.28844738778513612</v>
      </c>
      <c r="H18" s="355">
        <f>IF(ISNUMBER((Datos!M18-Datos!W18)/Datos!W18),(Datos!M18-Datos!W18)/Datos!W18," - ")</f>
        <v>-4.9222797927461141E-2</v>
      </c>
      <c r="I18" s="356">
        <f>IF(ISNUMBER((Tasas!C18-Datos!BE18)/Datos!BE18),(Tasas!C18-Datos!BE18)/Datos!BE18," - ")</f>
        <v>0.40021069045422486</v>
      </c>
      <c r="J18" s="354">
        <f>IF(ISNUMBER((Tasas!D18-Datos!BF18)/Datos!BF18),(Tasas!D18-Datos!BF18)/Datos!BF18," - ")</f>
        <v>3.3250108000633286E-2</v>
      </c>
      <c r="K18" s="357">
        <f>IF(ISNUMBER((Tasas!E18-Datos!BG18)/Datos!BG18),(Tasas!E18-Datos!BG18)/Datos!BG18," - ")</f>
        <v>4.3587343832379832E-2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-0.1613818424566088</v>
      </c>
      <c r="E19" s="362">
        <f>IF(ISNUMBER(
   IF(J_V="SI",(Datos!J19-Datos!T19)/Datos!T19,(Datos!J19+Datos!Z19-(Datos!T19+Datos!AH19))/(Datos!T19+Datos!AH19))
     ),IF(J_V="SI",(Datos!J19-Datos!T19)/Datos!T19,(Datos!J19+Datos!Z19-(Datos!T19+Datos!AH19))/(Datos!T19+Datos!AH19))," - ")</f>
        <v>-0.18013252566618321</v>
      </c>
      <c r="F19" s="362">
        <f>IF(ISNUMBER(
   IF(J_V="SI",(Datos!K19-Datos!U19)/Datos!U19,(Datos!K19+Datos!AA19-(Datos!U19+Datos!AI19))/(Datos!U19+Datos!AI19))
     ),IF(J_V="SI",(Datos!K19-Datos!U19)/Datos!U19,(Datos!K19+Datos!AA19-(Datos!U19+Datos!AI19))/(Datos!U19+Datos!AI19))," - ")</f>
        <v>-0.16943175442814778</v>
      </c>
      <c r="G19" s="363">
        <f>IF(ISNUMBER(
   IF(J_V="SI",(Datos!L19-Datos!V19)/Datos!V19,(Datos!L19+Datos!AB19-(Datos!V19+Datos!AJ19))/(Datos!V19+Datos!AJ19))
     ),IF(J_V="SI",(Datos!L19-Datos!V19)/Datos!V19,(Datos!L19+Datos!AB19-(Datos!V19+Datos!AJ19))/(Datos!V19+Datos!AJ19))," - ")</f>
        <v>-0.14845771144278608</v>
      </c>
      <c r="H19" s="364">
        <f>IF(ISNUMBER((Datos!M19-Datos!W19)/Datos!W19),(Datos!M19-Datos!W19)/Datos!W19," - ")</f>
        <v>-0.13931152529478888</v>
      </c>
      <c r="I19" s="361">
        <f>IF(ISNUMBER((Tasas!C19-Datos!BE19)/Datos!BE19),(Tasas!C19-Datos!BE19)/Datos!BE19," - ")</f>
        <v>2.5252642509732467E-2</v>
      </c>
      <c r="J19" s="362">
        <f>IF(ISNUMBER((Tasas!D19-Datos!BF19)/Datos!BF19),(Tasas!D19-Datos!BF19)/Datos!BF19," - ")</f>
        <v>-1.1577452750858277E-2</v>
      </c>
      <c r="K19" s="363">
        <f>IF(ISNUMBER((Tasas!E19-Datos!BG19)/Datos!BG19),(Tasas!E19-Datos!BG19)/Datos!BG19," - ")</f>
        <v>-7.1452921515022206E-3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0.15936595256718747</v>
      </c>
      <c r="E21" s="277">
        <f t="shared" si="1"/>
        <v>3.5889657739333551E-2</v>
      </c>
      <c r="F21" s="277">
        <f t="shared" si="1"/>
        <v>0.12687862565797256</v>
      </c>
      <c r="G21" s="278">
        <f t="shared" si="1"/>
        <v>0.30255876344048865</v>
      </c>
      <c r="H21" s="284">
        <f t="shared" si="1"/>
        <v>0.1397884718641236</v>
      </c>
      <c r="I21" s="276">
        <f t="shared" si="1"/>
        <v>0.31105013348243343</v>
      </c>
      <c r="J21" s="277">
        <f t="shared" si="1"/>
        <v>0.23846633649047586</v>
      </c>
      <c r="K21" s="278">
        <f t="shared" si="1"/>
        <v>5.783067005852021E-2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y/QaJ6d9AAnrUqFU2lUdWf327156gAUtGcpmS7PFr6EKC/LLgaj4qhfAqIGqGNRlvdzhXsPOYQ1BXJdpi2omQ==" saltValue="x4tSFMxlMZ3aD7tUG9Fj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